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12"/>
  <workbookPr codeName="ThisWorkbook"/>
  <mc:AlternateContent xmlns:mc="http://schemas.openxmlformats.org/markup-compatibility/2006">
    <mc:Choice Requires="x15">
      <x15ac:absPath xmlns:x15ac="http://schemas.microsoft.com/office/spreadsheetml/2010/11/ac" url="https://icaew-my.sharepoint.com/personal/david_lyford-smith_icaew_com/Documents/Excel/Presentations/TOTW Live/"/>
    </mc:Choice>
  </mc:AlternateContent>
  <xr:revisionPtr revIDLastSave="542" documentId="8_{F924B6E9-37DC-4524-AFF3-A4E87FFF2ECA}" xr6:coauthVersionLast="45" xr6:coauthVersionMax="45" xr10:uidLastSave="{48C3FE7F-19AA-43A1-A6AC-658261983BAD}"/>
  <bookViews>
    <workbookView xWindow="-108" yWindow="-108" windowWidth="23256" windowHeight="12576" tabRatio="852" xr2:uid="{00000000-000D-0000-FFFF-FFFF00000000}"/>
  </bookViews>
  <sheets>
    <sheet name="Introduction" sheetId="4" r:id="rId1"/>
    <sheet name="1 - IF" sheetId="13" r:id="rId2"/>
    <sheet name="2 - Rounding functions" sheetId="15" r:id="rId3"/>
    <sheet name="3 - Data validation" sheetId="14" r:id="rId4"/>
    <sheet name="4 - Charts" sheetId="16" r:id="rId5"/>
    <sheet name="5 - Sparklines" sheetId="17" r:id="rId6"/>
    <sheet name="6 - Loan calculations" sheetId="21" r:id="rId7"/>
    <sheet name="7 - Grouping data" sheetId="19" r:id="rId8"/>
    <sheet name="8 - Dynamic arrays" sheetId="20" r:id="rId9"/>
    <sheet name="Dropdowns data" sheetId="5" state="hidden" r:id="rId10"/>
  </sheets>
  <externalReferences>
    <externalReference r:id="rId11"/>
    <externalReference r:id="rId12"/>
  </externalReferences>
  <definedNames>
    <definedName name="Discount1">'[1]NPV calculation'!$D$3</definedName>
    <definedName name="Growth1">'[1]NPV calculation'!$D$2</definedName>
    <definedName name="Namecell">'[2]General tips'!$D$18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1" l="1"/>
  <c r="E4" i="21"/>
  <c r="E3" i="13" l="1"/>
  <c r="D29" i="20" l="1" a="1"/>
  <c r="D29" i="20" s="1"/>
  <c r="C25" i="20" a="1"/>
  <c r="C25" i="20" s="1"/>
  <c r="D20" i="20" a="1"/>
  <c r="D20" i="20" s="1"/>
  <c r="E20" i="20" s="1" a="1"/>
  <c r="E20" i="20" s="1"/>
  <c r="D13" i="20" a="1"/>
  <c r="D13" i="20" s="1"/>
  <c r="C14" i="20" a="1"/>
  <c r="C14" i="20" s="1"/>
  <c r="D8" i="20" a="1"/>
  <c r="D8" i="20" s="1"/>
  <c r="E24" i="19" a="1"/>
  <c r="E24" i="19" s="1"/>
  <c r="G18" i="19"/>
  <c r="G17" i="19"/>
  <c r="D17" i="19" s="1"/>
  <c r="D7" i="19"/>
  <c r="G9" i="19"/>
  <c r="G8" i="19"/>
  <c r="D12" i="19"/>
  <c r="D11" i="19"/>
  <c r="D10" i="19"/>
  <c r="D9" i="19"/>
  <c r="D8" i="19"/>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E7" i="21"/>
  <c r="C12" i="21"/>
  <c r="D12" i="21" s="1"/>
  <c r="E12" i="21" s="1"/>
  <c r="D25" i="20" l="1" a="1"/>
  <c r="D25" i="20" s="1"/>
  <c r="F25" i="20" s="1" a="1"/>
  <c r="F25" i="20" s="1"/>
  <c r="D20" i="19"/>
  <c r="D19" i="19"/>
  <c r="D16" i="19"/>
  <c r="D18" i="19"/>
  <c r="D21" i="19"/>
  <c r="F12" i="21" l="1"/>
  <c r="C13" i="21" s="1"/>
  <c r="D13" i="21" s="1"/>
  <c r="E13" i="21" l="1"/>
  <c r="F13" i="21" l="1"/>
  <c r="C14" i="21" s="1"/>
  <c r="D14" i="21" s="1"/>
  <c r="E14" i="21" l="1"/>
  <c r="F14" i="21" l="1"/>
  <c r="C15" i="21" s="1"/>
  <c r="D15" i="21" s="1"/>
  <c r="E15" i="21" s="1"/>
  <c r="F15" i="21" l="1"/>
  <c r="C16" i="21" s="1"/>
  <c r="D16" i="21" l="1"/>
  <c r="E16" i="21" s="1"/>
  <c r="F16" i="21" l="1"/>
  <c r="C17" i="21" s="1"/>
  <c r="D17" i="21" s="1"/>
  <c r="E17" i="21" l="1"/>
  <c r="F17" i="21" s="1"/>
  <c r="C18" i="21" s="1"/>
  <c r="D18" i="21" l="1"/>
  <c r="E18" i="21" l="1"/>
  <c r="F18" i="21" s="1"/>
  <c r="C19" i="21" s="1"/>
  <c r="D19" i="21" l="1"/>
  <c r="E19" i="21" s="1"/>
  <c r="F19" i="21" s="1"/>
  <c r="C20" i="21" s="1"/>
  <c r="D20" i="21" l="1"/>
  <c r="E20" i="21" s="1"/>
  <c r="F20" i="21" l="1"/>
  <c r="C21" i="21" s="1"/>
  <c r="D21" i="21" l="1"/>
  <c r="E21" i="21" l="1"/>
  <c r="F21" i="21" s="1"/>
  <c r="C22" i="21" l="1"/>
  <c r="D8" i="21" a="1"/>
  <c r="D8" i="21" s="1"/>
  <c r="D22" i="21"/>
  <c r="E22" i="21" l="1"/>
  <c r="F22" i="21" s="1"/>
  <c r="C23" i="21" s="1"/>
  <c r="D23" i="21" l="1"/>
  <c r="E23" i="21" s="1"/>
  <c r="F23" i="21" s="1"/>
  <c r="C24" i="21" s="1"/>
  <c r="D24" i="21" l="1"/>
  <c r="E24" i="21" s="1"/>
  <c r="F24" i="21" s="1"/>
  <c r="C25" i="21" s="1"/>
  <c r="D25" i="21" l="1"/>
  <c r="E25" i="21" s="1"/>
  <c r="F25" i="21" l="1"/>
  <c r="C26" i="21" s="1"/>
  <c r="D26" i="21" l="1"/>
  <c r="E26" i="21" l="1"/>
  <c r="F26" i="21" s="1"/>
  <c r="C27" i="21" s="1"/>
  <c r="D27" i="21" l="1"/>
  <c r="E27" i="21" s="1"/>
  <c r="F27" i="21" s="1"/>
  <c r="C28" i="21" s="1"/>
  <c r="D28" i="21" l="1"/>
  <c r="E28" i="21" s="1"/>
  <c r="F28" i="21" l="1"/>
  <c r="C29" i="21" s="1"/>
  <c r="D29" i="21" l="1"/>
  <c r="E29" i="21" s="1"/>
  <c r="F29" i="21" l="1"/>
  <c r="C30" i="21" s="1"/>
  <c r="D30" i="21" l="1"/>
  <c r="E30" i="21" l="1"/>
  <c r="F30" i="21" s="1"/>
  <c r="C31" i="21" s="1"/>
  <c r="D31" i="21" l="1"/>
  <c r="E31" i="21" l="1"/>
  <c r="F31" i="21" s="1"/>
  <c r="C32" i="21" s="1"/>
  <c r="D32" i="21" l="1"/>
  <c r="E32" i="21" s="1"/>
  <c r="F32" i="21" l="1"/>
  <c r="C33" i="21" s="1"/>
  <c r="D33" i="21" l="1"/>
  <c r="E33" i="21" s="1"/>
  <c r="F33" i="21" l="1"/>
  <c r="C34" i="21" s="1"/>
  <c r="D34" i="21" l="1"/>
  <c r="E34" i="21" l="1"/>
  <c r="F34" i="21" s="1"/>
  <c r="C35" i="21" s="1"/>
  <c r="D35" i="21" l="1"/>
  <c r="E35" i="21" l="1"/>
  <c r="F35" i="21" s="1"/>
  <c r="C36" i="21" s="1"/>
  <c r="D36" i="21" l="1"/>
  <c r="E36" i="21" s="1"/>
  <c r="F36" i="21" s="1"/>
  <c r="C37" i="21" s="1"/>
  <c r="D37" i="21" l="1"/>
  <c r="E37" i="21" s="1"/>
  <c r="F37" i="21" l="1"/>
  <c r="C38" i="21" s="1"/>
  <c r="D38" i="21" l="1"/>
  <c r="E38" i="21" l="1"/>
  <c r="F38" i="21" s="1"/>
  <c r="C39" i="21" s="1"/>
  <c r="D39" i="21" l="1"/>
  <c r="E39" i="21" s="1"/>
  <c r="F39" i="21" s="1"/>
  <c r="C40" i="21" s="1"/>
  <c r="D40" i="21" l="1"/>
  <c r="E40" i="21" s="1"/>
  <c r="F40" i="21" l="1"/>
  <c r="C41" i="21" s="1"/>
  <c r="D41" i="21" l="1"/>
  <c r="E41" i="21" s="1"/>
  <c r="F41" i="21" s="1"/>
  <c r="C42" i="21" s="1"/>
  <c r="D42" i="21" l="1"/>
  <c r="E42" i="21" s="1"/>
  <c r="F42" i="21" s="1"/>
  <c r="C43" i="21" s="1"/>
  <c r="D43" i="21" l="1"/>
  <c r="E43" i="21" s="1"/>
  <c r="F43" i="21" l="1"/>
  <c r="C44" i="21" s="1"/>
  <c r="D44" i="21" l="1"/>
  <c r="E44" i="21" s="1"/>
  <c r="F44" i="21" s="1"/>
  <c r="C45" i="21" s="1"/>
  <c r="D45" i="21" l="1"/>
  <c r="E45" i="21" s="1"/>
  <c r="F45" i="21" s="1"/>
  <c r="C46" i="21" s="1"/>
  <c r="D46" i="21" l="1"/>
  <c r="E46" i="21" s="1"/>
  <c r="F46" i="21" l="1"/>
  <c r="C47" i="21" s="1"/>
  <c r="D47" i="21" l="1"/>
  <c r="E47" i="21" l="1"/>
  <c r="F47" i="21" s="1"/>
  <c r="C48" i="21" s="1"/>
  <c r="D48" i="21" l="1"/>
  <c r="E48" i="21" s="1"/>
  <c r="F48" i="21" s="1"/>
  <c r="C49" i="21" s="1"/>
  <c r="D49" i="21" l="1"/>
  <c r="E49" i="21" s="1"/>
  <c r="F49" i="21" s="1"/>
  <c r="C50" i="21" s="1"/>
  <c r="D50" i="21" l="1"/>
  <c r="E50" i="21" s="1"/>
  <c r="F50" i="21" s="1"/>
  <c r="C51" i="21" s="1"/>
  <c r="D51" i="21" l="1"/>
  <c r="E51" i="21" l="1"/>
  <c r="F51" i="21" s="1"/>
  <c r="C52" i="21" s="1"/>
  <c r="D52" i="21" l="1"/>
  <c r="E52" i="21" s="1"/>
  <c r="F52" i="21" s="1"/>
  <c r="C53" i="21" s="1"/>
  <c r="D53" i="21" l="1"/>
  <c r="E53" i="21" s="1"/>
  <c r="F53" i="21" s="1"/>
  <c r="C54" i="21" s="1"/>
  <c r="D54" i="21" l="1"/>
  <c r="E54" i="21" l="1"/>
  <c r="F54" i="21" s="1"/>
  <c r="C55" i="21" s="1"/>
  <c r="D55" i="21" l="1"/>
  <c r="E55" i="21" s="1"/>
  <c r="F55" i="21" s="1"/>
  <c r="C56" i="21" s="1"/>
  <c r="D56" i="21" l="1"/>
  <c r="E56" i="21" s="1"/>
  <c r="F56" i="21" l="1"/>
  <c r="C57" i="21" s="1"/>
  <c r="D57" i="21" l="1"/>
  <c r="E57" i="21" s="1"/>
  <c r="F57" i="21" s="1"/>
  <c r="C58" i="21" s="1"/>
  <c r="D58" i="21" l="1"/>
  <c r="E58" i="21" s="1"/>
  <c r="F58" i="21" s="1"/>
  <c r="C59" i="21" s="1"/>
  <c r="D59" i="21" l="1"/>
  <c r="E59" i="21" s="1"/>
  <c r="F59" i="21" s="1"/>
  <c r="C60" i="21" s="1"/>
  <c r="D60" i="21" l="1"/>
  <c r="E60" i="21" s="1"/>
  <c r="F60" i="21" s="1"/>
  <c r="C61" i="21" s="1"/>
  <c r="D61" i="21" l="1"/>
  <c r="E61" i="21" s="1"/>
  <c r="F61" i="21" s="1"/>
  <c r="C62" i="21" s="1"/>
  <c r="D62" i="21" l="1"/>
  <c r="E62" i="21" l="1"/>
  <c r="F62" i="21" s="1"/>
  <c r="C63" i="21" s="1"/>
  <c r="D63" i="21" l="1"/>
  <c r="E63" i="21" s="1"/>
  <c r="F63" i="21" s="1"/>
  <c r="C64" i="21" s="1"/>
  <c r="D64" i="21" l="1"/>
  <c r="E64" i="21" s="1"/>
  <c r="F64" i="21" l="1"/>
  <c r="C65" i="21" s="1"/>
  <c r="D65" i="21" l="1"/>
  <c r="E65" i="21" s="1"/>
  <c r="F65" i="21" l="1"/>
  <c r="C66" i="21" s="1"/>
  <c r="D66" i="21" l="1"/>
  <c r="E66" i="21" s="1"/>
  <c r="F66" i="21" l="1"/>
  <c r="C67" i="21" s="1"/>
  <c r="D67" i="21" l="1"/>
  <c r="E67" i="21" l="1"/>
  <c r="F67" i="21" s="1"/>
  <c r="C68" i="21" s="1"/>
  <c r="D68" i="21" l="1"/>
  <c r="E68" i="21" s="1"/>
  <c r="F68" i="21" s="1"/>
  <c r="C69" i="21" s="1"/>
  <c r="D69" i="21" l="1"/>
  <c r="E69" i="21" s="1"/>
  <c r="F69" i="21" s="1"/>
  <c r="C70" i="21" s="1"/>
  <c r="D70" i="21" l="1"/>
  <c r="E70" i="21" l="1"/>
  <c r="F70" i="21" s="1"/>
  <c r="C71" i="21" s="1"/>
  <c r="D71" i="21" l="1"/>
  <c r="E71" i="21" s="1"/>
  <c r="F71" i="21" s="1"/>
  <c r="C72" i="21" s="1"/>
  <c r="D72" i="21" l="1"/>
  <c r="E72" i="21" s="1"/>
  <c r="F72" i="21" l="1"/>
  <c r="C73" i="21" s="1"/>
  <c r="D73" i="21" l="1"/>
  <c r="E73" i="21" l="1"/>
  <c r="F73" i="21" s="1"/>
  <c r="C74" i="21" s="1"/>
  <c r="D74" i="21" l="1"/>
  <c r="E74" i="21" s="1"/>
  <c r="F74" i="21" s="1"/>
  <c r="C75" i="21" s="1"/>
  <c r="D75" i="21" l="1"/>
  <c r="E75" i="21" s="1"/>
  <c r="F75" i="21" l="1"/>
  <c r="C76" i="21" s="1"/>
  <c r="D76" i="21" l="1"/>
  <c r="E76" i="21" s="1"/>
  <c r="F76" i="21" l="1"/>
  <c r="C77" i="21" s="1"/>
  <c r="D77" i="21" l="1"/>
  <c r="E77" i="21" s="1"/>
  <c r="F77" i="21" s="1"/>
  <c r="C78" i="21" s="1"/>
  <c r="D78" i="21" l="1"/>
  <c r="E78" i="21" s="1"/>
  <c r="F78" i="21" l="1"/>
  <c r="C79" i="21" s="1"/>
  <c r="D79" i="21" l="1"/>
  <c r="E79" i="21" s="1"/>
  <c r="F79" i="21" l="1"/>
  <c r="C80" i="21" s="1"/>
  <c r="D80" i="21" l="1"/>
  <c r="E80" i="21" l="1"/>
  <c r="F80" i="21" s="1"/>
  <c r="C81" i="21" s="1"/>
  <c r="D81" i="21" l="1"/>
  <c r="E81" i="21" s="1"/>
  <c r="F81" i="21" s="1"/>
  <c r="C82" i="21" s="1"/>
  <c r="D82" i="21" l="1"/>
  <c r="E82" i="21" s="1"/>
  <c r="F82" i="21" l="1"/>
  <c r="C83" i="21" s="1"/>
  <c r="D83" i="21" l="1"/>
  <c r="E83" i="21" l="1"/>
  <c r="F83" i="21" s="1"/>
  <c r="C84" i="21" s="1"/>
  <c r="D84" i="21" l="1"/>
  <c r="E84" i="21" l="1"/>
  <c r="F84" i="21" s="1"/>
  <c r="C85" i="21" s="1"/>
  <c r="D85" i="21" l="1"/>
  <c r="E85" i="21" s="1"/>
  <c r="F85" i="21" s="1"/>
  <c r="C86" i="21" s="1"/>
  <c r="D86" i="21" l="1"/>
  <c r="E86" i="21" s="1"/>
  <c r="F86" i="21" s="1"/>
  <c r="C87" i="21" s="1"/>
  <c r="D87" i="21" l="1"/>
  <c r="E87" i="21" s="1"/>
  <c r="F87" i="21" l="1"/>
  <c r="C88" i="21" s="1"/>
  <c r="D88" i="21" l="1"/>
  <c r="E88" i="21" s="1"/>
  <c r="F88" i="21" l="1"/>
  <c r="C89" i="21" s="1"/>
  <c r="D89" i="21" l="1"/>
  <c r="E89" i="21" s="1"/>
  <c r="F89" i="21" l="1"/>
  <c r="C90" i="21" s="1"/>
  <c r="D90" i="21" s="1"/>
  <c r="E90" i="21" s="1"/>
  <c r="F90" i="21" l="1"/>
  <c r="C91" i="21" s="1"/>
  <c r="D91" i="21" l="1"/>
  <c r="E91" i="21" s="1"/>
  <c r="F91" i="21" l="1"/>
  <c r="C92" i="21" s="1"/>
  <c r="D92" i="21" l="1"/>
  <c r="E92" i="21" l="1"/>
  <c r="F92" i="21" s="1"/>
  <c r="C93" i="21" s="1"/>
  <c r="D93" i="21" l="1"/>
  <c r="E93" i="21" s="1"/>
  <c r="F93" i="21" s="1"/>
  <c r="C94" i="21" s="1"/>
  <c r="D94" i="21" l="1"/>
  <c r="E94" i="21" s="1"/>
  <c r="F94" i="21" l="1"/>
  <c r="C95" i="21" s="1"/>
  <c r="D95" i="21" l="1"/>
  <c r="E95" i="21" l="1"/>
  <c r="F95" i="21" s="1"/>
  <c r="C96" i="21" s="1"/>
  <c r="D96" i="21" l="1"/>
  <c r="E96" i="21" l="1"/>
  <c r="F96" i="21" s="1"/>
  <c r="C97" i="21" s="1"/>
  <c r="D97" i="21" l="1"/>
  <c r="E97" i="21" s="1"/>
  <c r="F97" i="21" s="1"/>
  <c r="C98" i="21" s="1"/>
  <c r="D98" i="21" l="1"/>
  <c r="E98" i="21" s="1"/>
  <c r="F98" i="21" s="1"/>
  <c r="C99" i="21" s="1"/>
  <c r="D99" i="21" l="1"/>
  <c r="E99" i="21" s="1"/>
  <c r="F99" i="21" l="1"/>
  <c r="C100" i="21" s="1"/>
  <c r="D100" i="21" l="1"/>
  <c r="E100" i="21" l="1"/>
  <c r="F100" i="21" s="1"/>
  <c r="C101" i="21" s="1"/>
  <c r="D101" i="21" l="1"/>
  <c r="E101" i="21" s="1"/>
  <c r="F101" i="21" s="1"/>
  <c r="C102" i="21" s="1"/>
  <c r="D102" i="21" l="1"/>
  <c r="E102" i="21" s="1"/>
  <c r="F102" i="21" l="1"/>
  <c r="C103" i="21" s="1"/>
  <c r="D103" i="21" l="1"/>
  <c r="E103" i="21" l="1"/>
  <c r="F103" i="21" s="1"/>
  <c r="C104" i="21" s="1"/>
  <c r="D104" i="21" l="1"/>
  <c r="E104" i="21" s="1"/>
  <c r="F104" i="21" s="1"/>
  <c r="C105" i="21" s="1"/>
  <c r="D105" i="21" l="1"/>
  <c r="E105" i="21" s="1"/>
  <c r="F105" i="21" s="1"/>
  <c r="C106" i="21" s="1"/>
  <c r="D106" i="21" l="1"/>
  <c r="E106" i="21" s="1"/>
  <c r="F106" i="21" l="1"/>
  <c r="C107" i="21" s="1"/>
  <c r="D107" i="21" l="1"/>
  <c r="E107" i="21" s="1"/>
  <c r="F107" i="21" l="1"/>
  <c r="C108" i="21" s="1"/>
  <c r="D108" i="21" l="1"/>
  <c r="E108" i="21" s="1"/>
  <c r="F108" i="21" s="1"/>
  <c r="C109" i="21" s="1"/>
  <c r="D109" i="21" l="1"/>
  <c r="E109" i="21" s="1"/>
  <c r="F109" i="21" l="1"/>
  <c r="C110" i="21" s="1"/>
  <c r="D110" i="21" l="1"/>
  <c r="E110" i="21" s="1"/>
  <c r="F110" i="21" l="1"/>
  <c r="C111" i="21" s="1"/>
  <c r="D111" i="21" l="1"/>
  <c r="E111" i="21" s="1"/>
  <c r="F111" i="21" l="1"/>
  <c r="C112" i="21" s="1"/>
  <c r="D112" i="21" l="1"/>
  <c r="E112" i="21" s="1"/>
  <c r="F112" i="21" l="1"/>
  <c r="C113" i="21" s="1"/>
  <c r="D113" i="21" s="1"/>
  <c r="E113" i="21" l="1"/>
  <c r="F113" i="21" s="1"/>
  <c r="C114" i="21" s="1"/>
  <c r="D114" i="21" l="1"/>
  <c r="E114" i="21" l="1"/>
  <c r="F114" i="21" s="1"/>
  <c r="C115" i="21" s="1"/>
  <c r="D115" i="21" l="1"/>
  <c r="E115" i="21" s="1"/>
  <c r="F115" i="21" s="1"/>
  <c r="C116" i="21" s="1"/>
  <c r="D116" i="21" l="1"/>
  <c r="E116" i="21" s="1"/>
  <c r="F116" i="21" l="1"/>
  <c r="C117" i="21" s="1"/>
  <c r="D117" i="21" s="1"/>
  <c r="E117" i="21" l="1"/>
  <c r="F117" i="21" s="1"/>
  <c r="C118" i="21" s="1"/>
  <c r="D118" i="21" l="1"/>
  <c r="E118" i="21" s="1"/>
  <c r="F118" i="21" l="1"/>
  <c r="C119" i="21" s="1"/>
  <c r="D119" i="21" l="1"/>
  <c r="E119" i="21" l="1"/>
  <c r="F119" i="21" s="1"/>
  <c r="C120" i="21" s="1"/>
  <c r="D120" i="21" l="1"/>
  <c r="E120" i="21" s="1"/>
  <c r="F120" i="21" s="1"/>
  <c r="C121" i="21" s="1"/>
  <c r="D121" i="21" l="1"/>
  <c r="E121" i="21" s="1"/>
  <c r="F121" i="21" l="1"/>
  <c r="C122" i="21" s="1"/>
  <c r="D122" i="21" l="1"/>
  <c r="E122" i="21" s="1"/>
  <c r="F122" i="21" l="1"/>
  <c r="C123" i="21" s="1"/>
  <c r="D123" i="21" l="1"/>
  <c r="E123" i="21" l="1"/>
  <c r="F123" i="21" s="1"/>
  <c r="C124" i="21" s="1"/>
  <c r="D124" i="21" l="1"/>
  <c r="E124" i="21" s="1"/>
  <c r="F124" i="21" s="1"/>
  <c r="C125" i="21" s="1"/>
  <c r="D125" i="21" l="1"/>
  <c r="E125" i="21" s="1"/>
  <c r="F125" i="21" l="1"/>
  <c r="C126" i="21" s="1"/>
  <c r="D126" i="21" l="1"/>
  <c r="E126" i="21" s="1"/>
  <c r="F126" i="21" l="1"/>
  <c r="C127" i="21" s="1"/>
  <c r="D127" i="21" l="1"/>
  <c r="E127" i="21" s="1"/>
  <c r="F127" i="21" l="1"/>
  <c r="C128" i="21" s="1"/>
  <c r="D128" i="21" l="1"/>
  <c r="E128" i="21" s="1"/>
  <c r="F128" i="21" l="1"/>
  <c r="C129" i="21" s="1"/>
  <c r="D129" i="21" s="1"/>
  <c r="E129" i="21" l="1"/>
  <c r="F129" i="21" s="1"/>
  <c r="C130" i="21" s="1"/>
  <c r="D130" i="21" l="1"/>
  <c r="E130" i="21" s="1"/>
  <c r="F130" i="21" l="1"/>
  <c r="C131" i="21" s="1"/>
  <c r="D131" i="21" l="1"/>
  <c r="E131" i="21" s="1"/>
  <c r="F131" i="21" l="1"/>
  <c r="C132" i="21" s="1"/>
  <c r="D132" i="21" l="1"/>
  <c r="E132" i="21" l="1"/>
  <c r="F132" i="21" s="1"/>
  <c r="C133" i="21" s="1"/>
  <c r="D133" i="21" l="1"/>
  <c r="E133" i="21" s="1"/>
  <c r="F133" i="21" s="1"/>
  <c r="C134" i="21" s="1"/>
  <c r="D134" i="21" l="1"/>
  <c r="E134" i="21" s="1"/>
  <c r="F134" i="21" l="1"/>
  <c r="C135" i="21" s="1"/>
  <c r="D135" i="21" l="1"/>
  <c r="E135" i="21" s="1"/>
  <c r="F135" i="21" l="1"/>
  <c r="C136" i="21" s="1"/>
  <c r="D136" i="21" l="1"/>
  <c r="E136" i="21" l="1"/>
  <c r="F136" i="21" s="1"/>
  <c r="C137" i="21" s="1"/>
  <c r="D137" i="21" l="1"/>
  <c r="E137" i="21" s="1"/>
  <c r="F137" i="21" l="1"/>
  <c r="C138" i="21" s="1"/>
  <c r="D138" i="21" s="1"/>
  <c r="E138" i="21" l="1"/>
  <c r="F138" i="21" s="1"/>
  <c r="C139" i="21" s="1"/>
  <c r="D139" i="21" l="1"/>
  <c r="E139" i="21" l="1"/>
  <c r="F139" i="21" s="1"/>
  <c r="C140" i="21" s="1"/>
  <c r="D140" i="21" l="1"/>
  <c r="E140" i="21" s="1"/>
  <c r="F140" i="21" l="1"/>
  <c r="C141" i="21" s="1"/>
  <c r="D141" i="21" l="1"/>
  <c r="E141" i="21" l="1"/>
  <c r="F141" i="21" s="1"/>
  <c r="C142" i="21" s="1"/>
  <c r="D142" i="21" l="1"/>
  <c r="E142" i="21" s="1"/>
  <c r="F142" i="21" l="1"/>
  <c r="C143" i="21" s="1"/>
  <c r="D143" i="21" l="1"/>
  <c r="E143" i="21" l="1"/>
  <c r="F143" i="21" s="1"/>
  <c r="C144" i="21" s="1"/>
  <c r="D144" i="21" l="1"/>
  <c r="E144" i="21" l="1"/>
  <c r="F144" i="21" s="1"/>
  <c r="C145" i="21" s="1"/>
  <c r="D145" i="21" l="1"/>
  <c r="E145" i="21" s="1"/>
  <c r="F145" i="21" l="1"/>
  <c r="C146" i="21" s="1"/>
  <c r="D146" i="21" l="1"/>
  <c r="E146" i="21" s="1"/>
  <c r="F146" i="21" s="1"/>
  <c r="C147" i="21" s="1"/>
  <c r="D147" i="21" l="1"/>
  <c r="E147" i="21" s="1"/>
  <c r="F147" i="21" s="1"/>
  <c r="C148" i="21" s="1"/>
  <c r="D148" i="21" l="1"/>
  <c r="E148" i="21" l="1"/>
  <c r="F148" i="21" s="1"/>
  <c r="C149" i="21" s="1"/>
  <c r="D149" i="21" l="1"/>
  <c r="E149" i="21" s="1"/>
  <c r="F149" i="21" s="1"/>
  <c r="C150" i="21" s="1"/>
  <c r="D150" i="21" l="1"/>
  <c r="E150" i="21" s="1"/>
  <c r="F150" i="21" l="1"/>
  <c r="C151" i="21" s="1"/>
  <c r="D151" i="21" s="1"/>
  <c r="E151" i="21" l="1"/>
  <c r="F151" i="21" s="1"/>
  <c r="C152" i="21" s="1"/>
  <c r="D152" i="21" l="1"/>
  <c r="E152" i="21" l="1"/>
  <c r="F152" i="21" s="1"/>
  <c r="C153" i="21" s="1"/>
  <c r="D153" i="21" l="1"/>
  <c r="E153" i="21" s="1"/>
  <c r="F153" i="21" s="1"/>
  <c r="C154" i="21" s="1"/>
  <c r="D154" i="21" l="1"/>
  <c r="E154" i="21" s="1"/>
  <c r="F154" i="21" l="1"/>
  <c r="C155" i="21" s="1"/>
  <c r="D155" i="21" l="1"/>
  <c r="E155" i="21" s="1"/>
  <c r="F155" i="21" l="1"/>
  <c r="C156" i="21" s="1"/>
  <c r="D156" i="21" l="1"/>
  <c r="E156" i="21" l="1"/>
  <c r="F156" i="21" s="1"/>
  <c r="C157" i="21" s="1"/>
  <c r="D157" i="21" l="1"/>
  <c r="E157" i="21" s="1"/>
  <c r="F157" i="21" s="1"/>
  <c r="C158" i="21" s="1"/>
  <c r="D158" i="21" l="1"/>
  <c r="E158" i="21" s="1"/>
  <c r="F158" i="21" s="1"/>
  <c r="C159" i="21" s="1"/>
  <c r="D159" i="21" l="1"/>
  <c r="E159" i="21" s="1"/>
  <c r="F159" i="21" s="1"/>
  <c r="C160" i="21" s="1"/>
  <c r="D160" i="21" l="1"/>
  <c r="E160" i="21" l="1"/>
  <c r="F160" i="21" s="1"/>
  <c r="C161" i="21" s="1"/>
  <c r="D161" i="21" l="1"/>
  <c r="E161" i="21" s="1"/>
  <c r="F161" i="21" l="1"/>
  <c r="C162" i="21" s="1"/>
  <c r="D162" i="21" s="1"/>
  <c r="E162" i="21" l="1"/>
  <c r="F162" i="21"/>
  <c r="C163" i="21" s="1"/>
  <c r="D163" i="21" l="1"/>
  <c r="E163" i="21" s="1"/>
  <c r="F163" i="21" l="1"/>
  <c r="C164" i="21" s="1"/>
  <c r="D164" i="21" l="1"/>
  <c r="E164" i="21" l="1"/>
  <c r="F164" i="21" s="1"/>
  <c r="C165" i="21" s="1"/>
  <c r="D165" i="21" l="1"/>
  <c r="E165" i="21" s="1"/>
  <c r="F165" i="21" s="1"/>
  <c r="C166" i="21" s="1"/>
  <c r="D166" i="21" l="1"/>
  <c r="E166" i="21" s="1"/>
  <c r="F166" i="21" l="1"/>
  <c r="C167" i="21" s="1"/>
  <c r="D167" i="21" l="1"/>
  <c r="E167" i="21" s="1"/>
  <c r="F167" i="21" l="1"/>
  <c r="C168" i="21" s="1"/>
  <c r="D168" i="21" s="1"/>
  <c r="E168" i="21" l="1"/>
  <c r="F168" i="21" s="1"/>
  <c r="C169" i="21" s="1"/>
  <c r="D169" i="21" l="1"/>
  <c r="E169" i="21" s="1"/>
  <c r="F169" i="21" s="1"/>
  <c r="C170" i="21" s="1"/>
  <c r="D170" i="21" l="1"/>
  <c r="E170" i="21" s="1"/>
  <c r="F170" i="21" l="1"/>
  <c r="C171" i="21" s="1"/>
  <c r="D171" i="21" l="1"/>
  <c r="E171" i="21" s="1"/>
  <c r="F171" i="21" l="1"/>
  <c r="C172" i="21" s="1"/>
  <c r="D172" i="21" s="1"/>
  <c r="E172" i="21" l="1"/>
  <c r="F172" i="21" s="1"/>
  <c r="C173" i="21" s="1"/>
  <c r="D173" i="21" l="1"/>
  <c r="E173" i="21" l="1"/>
  <c r="F173" i="21" s="1"/>
  <c r="C174" i="21" s="1"/>
  <c r="D174" i="21" l="1"/>
  <c r="E174" i="21" l="1"/>
  <c r="F174" i="21" s="1"/>
  <c r="C175" i="21" s="1"/>
  <c r="D175" i="21" l="1"/>
  <c r="E175" i="21" s="1"/>
  <c r="F175" i="21" l="1"/>
  <c r="C176" i="21" s="1"/>
  <c r="D176" i="21" s="1"/>
  <c r="E176" i="21" l="1"/>
  <c r="F176" i="21" s="1"/>
  <c r="C177" i="21" s="1"/>
  <c r="D177" i="21" l="1"/>
  <c r="E177" i="21" s="1"/>
  <c r="F177" i="21" l="1"/>
  <c r="C178" i="21" s="1"/>
  <c r="D178" i="21" s="1"/>
  <c r="E178" i="21" l="1"/>
  <c r="F178" i="21" s="1"/>
  <c r="C179" i="21" s="1"/>
  <c r="D179" i="21" l="1"/>
  <c r="E179" i="21" s="1"/>
  <c r="F179" i="21" l="1"/>
  <c r="C180" i="21" s="1"/>
  <c r="D180" i="21" l="1"/>
  <c r="E180" i="21" l="1"/>
  <c r="F180" i="21" s="1"/>
  <c r="C181" i="21" s="1"/>
  <c r="D181" i="21" l="1"/>
  <c r="E181" i="21" s="1"/>
  <c r="F181" i="21" l="1"/>
  <c r="C182" i="21" s="1"/>
  <c r="D182" i="21" s="1"/>
  <c r="E182" i="21" l="1"/>
  <c r="F182" i="21"/>
  <c r="C183" i="21" s="1"/>
  <c r="D183" i="21" l="1"/>
  <c r="E183" i="21" s="1"/>
  <c r="E28" i="15"/>
  <c r="E27" i="15"/>
  <c r="E26" i="15"/>
  <c r="E25" i="15"/>
  <c r="E21" i="15"/>
  <c r="E20" i="15"/>
  <c r="E19" i="15"/>
  <c r="E18" i="15"/>
  <c r="D10" i="15"/>
  <c r="D9" i="15"/>
  <c r="E10" i="15" s="1"/>
  <c r="C14" i="15" s="1"/>
  <c r="D30" i="13"/>
  <c r="D31" i="13"/>
  <c r="D32" i="13"/>
  <c r="D33" i="13"/>
  <c r="D34" i="13"/>
  <c r="D29" i="13"/>
  <c r="E20" i="13"/>
  <c r="E21" i="13"/>
  <c r="E22" i="13"/>
  <c r="E23" i="13"/>
  <c r="E24" i="13"/>
  <c r="E19" i="13"/>
  <c r="E13" i="13"/>
  <c r="E12" i="13"/>
  <c r="E6" i="13"/>
  <c r="E5" i="13"/>
  <c r="E4" i="13"/>
  <c r="F183" i="21" l="1"/>
  <c r="C184" i="21" s="1"/>
  <c r="D184" i="21" l="1"/>
  <c r="E184" i="21" l="1"/>
  <c r="F184" i="21" s="1"/>
  <c r="C185" i="21" s="1"/>
  <c r="D185" i="21" l="1"/>
  <c r="E185" i="21" s="1"/>
  <c r="F185" i="21" l="1"/>
  <c r="C186" i="21" s="1"/>
  <c r="D186" i="21" s="1"/>
  <c r="E186" i="21" l="1"/>
  <c r="F186" i="21" s="1"/>
  <c r="C187" i="21" s="1"/>
  <c r="D187" i="21" l="1"/>
  <c r="E187" i="21" s="1"/>
  <c r="F187" i="21" l="1"/>
  <c r="C188" i="21" s="1"/>
  <c r="D188" i="21" l="1"/>
  <c r="E188" i="21" l="1"/>
  <c r="F188" i="21" s="1"/>
  <c r="C189" i="21" s="1"/>
  <c r="D189" i="21" l="1"/>
  <c r="E189" i="21" s="1"/>
  <c r="F189" i="21" l="1"/>
  <c r="C190" i="21" s="1"/>
  <c r="D190" i="21" s="1"/>
  <c r="E190" i="21" l="1"/>
  <c r="F190" i="21" s="1"/>
  <c r="C191" i="21" s="1"/>
  <c r="D191" i="21" l="1"/>
  <c r="E191" i="21" s="1"/>
  <c r="F191" i="21" l="1"/>
  <c r="C192" i="21" s="1"/>
  <c r="D192" i="21" l="1"/>
  <c r="E192" i="21" l="1"/>
  <c r="F192" i="21" s="1"/>
  <c r="C193" i="21" s="1"/>
  <c r="D193" i="21" l="1"/>
  <c r="E193" i="21" s="1"/>
  <c r="F193" i="21" l="1"/>
  <c r="C194" i="21" s="1"/>
  <c r="D194" i="21" s="1"/>
  <c r="E194" i="21" l="1"/>
  <c r="F194" i="21" s="1"/>
  <c r="C195" i="21" s="1"/>
  <c r="D195" i="21" l="1"/>
  <c r="E195" i="21" l="1"/>
  <c r="F195" i="21" s="1"/>
  <c r="C196" i="21" s="1"/>
  <c r="D196" i="21" l="1"/>
  <c r="E196" i="21" s="1"/>
  <c r="F196" i="21" l="1"/>
  <c r="C197" i="21" s="1"/>
  <c r="D197" i="21" l="1"/>
  <c r="E197" i="21" l="1"/>
  <c r="F197" i="21" s="1"/>
  <c r="C198" i="21" s="1"/>
  <c r="D198" i="21" l="1"/>
  <c r="E198" i="21" s="1"/>
  <c r="D7" i="21" s="1"/>
  <c r="F8" i="21" l="1"/>
  <c r="E5" i="21"/>
  <c r="E6" i="21"/>
  <c r="F198"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<sst xmlns="http://schemas.openxmlformats.org/spreadsheetml/2006/main" count="2134" uniqueCount="159">
  <si>
    <t>Presenter:</t>
  </si>
  <si>
    <t>David Lyford-Smith</t>
  </si>
  <si>
    <t>(Technical Manager, ICAEW)</t>
  </si>
  <si>
    <t>Tip of the Week reference</t>
  </si>
  <si>
    <t>Spreadsheet Competency Framework level</t>
  </si>
  <si>
    <t>Contents:</t>
  </si>
  <si>
    <t>Creator</t>
  </si>
  <si>
    <t>General User</t>
  </si>
  <si>
    <t>Value</t>
  </si>
  <si>
    <t>Apple</t>
  </si>
  <si>
    <t>Banana</t>
  </si>
  <si>
    <t>Cherry</t>
  </si>
  <si>
    <t>Date</t>
  </si>
  <si>
    <t>Elderberry</t>
  </si>
  <si>
    <t>Fig</t>
  </si>
  <si>
    <t>Gooseberry</t>
  </si>
  <si>
    <t>C</t>
  </si>
  <si>
    <t>A</t>
  </si>
  <si>
    <t>B</t>
  </si>
  <si>
    <t>Welcome to Excel Tip of the Week Live 7!</t>
  </si>
  <si>
    <t>IF</t>
  </si>
  <si>
    <t>Rounding functions</t>
  </si>
  <si>
    <t>Data validation</t>
  </si>
  <si>
    <t>Charts</t>
  </si>
  <si>
    <t>Sparklines</t>
  </si>
  <si>
    <t>Loan calculations</t>
  </si>
  <si>
    <t>Grouping data</t>
  </si>
  <si>
    <t>Dynamic arrays</t>
  </si>
  <si>
    <t>#273</t>
  </si>
  <si>
    <t>#349</t>
  </si>
  <si>
    <t>#296</t>
  </si>
  <si>
    <t>#71</t>
  </si>
  <si>
    <t>#290</t>
  </si>
  <si>
    <t>#326</t>
  </si>
  <si>
    <t>#160, #358</t>
  </si>
  <si>
    <t>#327</t>
  </si>
  <si>
    <t>No</t>
  </si>
  <si>
    <t>Yes</t>
  </si>
  <si>
    <t>Percentage deduction</t>
  </si>
  <si>
    <t>Opted in to pension scheme?</t>
  </si>
  <si>
    <t>Salary</t>
  </si>
  <si>
    <t>Joining date</t>
  </si>
  <si>
    <t>Name</t>
  </si>
  <si>
    <t>See below for an example:</t>
  </si>
  <si>
    <t>The options are pretty extensive, and include being able to e.g. prompt users when they select the cell, or customising an error message to be shown when invalid data is entered.</t>
  </si>
  <si>
    <t>You can set up data validation from the Data tab.</t>
  </si>
  <si>
    <r>
      <t xml:space="preserve">It is </t>
    </r>
    <r>
      <rPr>
        <b/>
        <sz val="11"/>
        <color theme="1"/>
        <rFont val="Arial"/>
        <family val="2"/>
      </rPr>
      <t>not</t>
    </r>
    <r>
      <rPr>
        <sz val="10"/>
        <color theme="1"/>
        <rFont val="Arial"/>
        <family val="2"/>
      </rPr>
      <t xml:space="preserve"> tamperproof; copying data from other sources over the cells will remove the data validation.</t>
    </r>
  </si>
  <si>
    <t>Data validation allows you to control the types of data that users can enter into cells.</t>
  </si>
  <si>
    <t>The basics of logical statements in Excel are that statements can be written using &lt; &gt; = and Excel will test whether they're true.</t>
  </si>
  <si>
    <t>However most of the time that these sorts of formulas are needed, we write an IF function instead.</t>
  </si>
  <si>
    <t>This lets you customise what happens in each case.</t>
  </si>
  <si>
    <t>For example, here's a formula that performs one of two different calculations based on a letter:</t>
  </si>
  <si>
    <t>Sales type</t>
  </si>
  <si>
    <t>Commission</t>
  </si>
  <si>
    <t>There are two ways of adding more complexity to our IF functions.</t>
  </si>
  <si>
    <t>Firstly, we can ask more complicated questions than simple true/false - by incorporating the functions AND and OR.</t>
  </si>
  <si>
    <t>For example, here's a function which identifies risky items - defined as having value over £10,000 and belonging to customer group A or C.</t>
  </si>
  <si>
    <t>Customer</t>
  </si>
  <si>
    <t>Risk level</t>
  </si>
  <si>
    <t>Secondly, we can add complexity via multiple outputs - usually by nesting one complete IF function inside one of the outputs of another.</t>
  </si>
  <si>
    <t>Here's a function which groups transactions into three categories:</t>
  </si>
  <si>
    <t>Value group</t>
  </si>
  <si>
    <t>Rounding is an essential part of many calculations - particularly things like foreign exchange translations.</t>
  </si>
  <si>
    <t>Excel has multiple ways of rounding values that work differently from one another.</t>
  </si>
  <si>
    <r>
      <t xml:space="preserve">Firstly, </t>
    </r>
    <r>
      <rPr>
        <i/>
        <sz val="10"/>
        <color theme="1"/>
        <rFont val="Arial"/>
        <family val="2"/>
      </rPr>
      <t>all</t>
    </r>
    <r>
      <rPr>
        <sz val="10"/>
        <color theme="1"/>
        <rFont val="Arial"/>
        <family val="2"/>
      </rPr>
      <t xml:space="preserve"> Excel values are rounded, because the program has finite space to store numbers.</t>
    </r>
  </si>
  <si>
    <t>Also, because Excel works in binary, sometimes decimal values are slightly off:</t>
  </si>
  <si>
    <t>Values</t>
  </si>
  <si>
    <t>Change in values</t>
  </si>
  <si>
    <t>Difference between these changes</t>
  </si>
  <si>
    <t>You can manage most rounding for presentational purposes by just reducing the number of digits shown in a cell.</t>
  </si>
  <si>
    <t>This does not affect the value used in further calculations, but does tidy up the appearance.</t>
  </si>
  <si>
    <t>For rounding to a certain number of decimal places, use ROUND, ROUNDUP, and ROUNDDOWN:</t>
  </si>
  <si>
    <t>Rounding type</t>
  </si>
  <si>
    <t>Result</t>
  </si>
  <si>
    <t>Nearest integer</t>
  </si>
  <si>
    <t>Up to next integer</t>
  </si>
  <si>
    <t>Nearest 2dp</t>
  </si>
  <si>
    <t>Down to last thousand</t>
  </si>
  <si>
    <t>For rounding to a multiple of a number specified, use MROUND, CEILING.MATH, and FLOOR.MATH:</t>
  </si>
  <si>
    <t>Nearest 0.25</t>
  </si>
  <si>
    <t>Up to next 0.25</t>
  </si>
  <si>
    <t>Nearest 100</t>
  </si>
  <si>
    <t>Down to last dozen</t>
  </si>
  <si>
    <t>There are a huge variety of charting capabilities within Excel, and it's commonly used as a data presentation platform.</t>
  </si>
  <si>
    <t>But charts can be fiddly or downright infuriating.</t>
  </si>
  <si>
    <t>A large part of good charting is thinking about the clearest way to communicate your message.</t>
  </si>
  <si>
    <t>For example, pie charts - and especially 3D pie charts - are notoriously misleading.</t>
  </si>
  <si>
    <t>OrderDate</t>
  </si>
  <si>
    <t>Region</t>
  </si>
  <si>
    <t>City</t>
  </si>
  <si>
    <t>Store</t>
  </si>
  <si>
    <t>Category</t>
  </si>
  <si>
    <t>Product</t>
  </si>
  <si>
    <t>Quantity</t>
  </si>
  <si>
    <t>TotalPrice</t>
  </si>
  <si>
    <t>East</t>
  </si>
  <si>
    <t>New York</t>
  </si>
  <si>
    <t>Snacks</t>
  </si>
  <si>
    <t>Potato Chips</t>
  </si>
  <si>
    <t>Cookies</t>
  </si>
  <si>
    <t>Chocolate Chip</t>
  </si>
  <si>
    <t>Boston</t>
  </si>
  <si>
    <t>Oatmeal Raisin</t>
  </si>
  <si>
    <t>Philadelphia</t>
  </si>
  <si>
    <t>Bars</t>
  </si>
  <si>
    <t>Carrot</t>
  </si>
  <si>
    <t>West</t>
  </si>
  <si>
    <t>Los Angeles</t>
  </si>
  <si>
    <t>San Diego</t>
  </si>
  <si>
    <t>Crackers</t>
  </si>
  <si>
    <t>Whole Wheat</t>
  </si>
  <si>
    <t>Pretzels</t>
  </si>
  <si>
    <t>Arrowroot</t>
  </si>
  <si>
    <t>Bran</t>
  </si>
  <si>
    <t>Saltines</t>
  </si>
  <si>
    <t>Cheese</t>
  </si>
  <si>
    <t>Sparklines are like a tiny charts that live inside single cells.</t>
  </si>
  <si>
    <t>They can be used to give quick, at-a-glance readability to data.</t>
  </si>
  <si>
    <t>Revenue</t>
  </si>
  <si>
    <t>Cost of sales</t>
  </si>
  <si>
    <t>Gross profit</t>
  </si>
  <si>
    <t>The "line" variant seen above is the most common, but other presentations exist.</t>
  </si>
  <si>
    <t>Don't make them too complicated!</t>
  </si>
  <si>
    <t>Period</t>
  </si>
  <si>
    <t>Opening balance</t>
  </si>
  <si>
    <t>Interest</t>
  </si>
  <si>
    <t>Repayment</t>
  </si>
  <si>
    <t>Closing balance</t>
  </si>
  <si>
    <t>Principal amount:</t>
  </si>
  <si>
    <t>Excel has some very helpful functions for calculating things about simple loans.</t>
  </si>
  <si>
    <t>Longform calculation</t>
  </si>
  <si>
    <t>Formula version</t>
  </si>
  <si>
    <t>Balance after period:</t>
  </si>
  <si>
    <t>There are many ways to group and summarise data in Excel.</t>
  </si>
  <si>
    <t>Grouping by values</t>
  </si>
  <si>
    <t>We already saw one approach earlier, with IF:</t>
  </si>
  <si>
    <t>Group from</t>
  </si>
  <si>
    <t>Group to</t>
  </si>
  <si>
    <t>Group no</t>
  </si>
  <si>
    <t>This is however hard to write and not very flexible.</t>
  </si>
  <si>
    <t>An INDEX and inexact MATCH is better:</t>
  </si>
  <si>
    <t>We can also calculate the number of items in each group easily with FREQUENCY:</t>
  </si>
  <si>
    <t>Number of items</t>
  </si>
  <si>
    <t>Grouping by labels</t>
  </si>
  <si>
    <t>There are also a few ways to aggregate data by a text label.</t>
  </si>
  <si>
    <t>Group</t>
  </si>
  <si>
    <t>The Subtotal feature can be used:</t>
  </si>
  <si>
    <t>Or a PivotTable could be created:</t>
  </si>
  <si>
    <t>Introduced into Excel for Microsoft 365 late in 2019, dynamic arrays are a new calculation engine that removes the need for old-school array formulas.</t>
  </si>
  <si>
    <t>These new formulas can expand into multiple cells, and allow formulas to perform operations such as filtering.</t>
  </si>
  <si>
    <t>They also change how some traditional formulas and references can be written.</t>
  </si>
  <si>
    <r>
      <t xml:space="preserve">They are available </t>
    </r>
    <r>
      <rPr>
        <b/>
        <sz val="10"/>
        <color theme="1"/>
        <rFont val="Arial"/>
        <family val="2"/>
      </rPr>
      <t>only</t>
    </r>
    <r>
      <rPr>
        <sz val="10"/>
        <color theme="1"/>
        <rFont val="Arial"/>
        <family val="2"/>
      </rPr>
      <t xml:space="preserve"> in Excel 365 and will not be added to Excel 2019.</t>
    </r>
  </si>
  <si>
    <r>
      <t xml:space="preserve">The basic behaviour is </t>
    </r>
    <r>
      <rPr>
        <i/>
        <sz val="10"/>
        <color theme="1"/>
        <rFont val="Arial"/>
        <family val="2"/>
      </rPr>
      <t>spilling</t>
    </r>
    <r>
      <rPr>
        <sz val="10"/>
        <color theme="1"/>
        <rFont val="Arial"/>
        <family val="2"/>
      </rPr>
      <t xml:space="preserve"> - formulas that can grow to multiple cells.</t>
    </r>
  </si>
  <si>
    <t>The most fundamental new function is SEQUENCE:</t>
  </si>
  <si>
    <t>There is a new way of refering to cells to show when you want to also include the full spilled range from that cell, using #:</t>
  </si>
  <si>
    <t>There are new functions, and new functionality for old ones:</t>
  </si>
  <si>
    <r>
      <rPr>
        <sz val="10"/>
        <color theme="1"/>
        <rFont val="Arial"/>
        <family val="2"/>
      </rPr>
      <t>Interest rate (</t>
    </r>
    <r>
      <rPr>
        <b/>
        <sz val="10"/>
        <color theme="1"/>
        <rFont val="Arial"/>
        <family val="2"/>
      </rPr>
      <t>annual</t>
    </r>
    <r>
      <rPr>
        <sz val="10"/>
        <color theme="1"/>
        <rFont val="Arial"/>
        <family val="2"/>
      </rPr>
      <t>):</t>
    </r>
  </si>
  <si>
    <r>
      <t>Amount repaid (</t>
    </r>
    <r>
      <rPr>
        <b/>
        <sz val="10"/>
        <color theme="1"/>
        <rFont val="Arial"/>
        <family val="2"/>
      </rPr>
      <t>monthly</t>
    </r>
    <r>
      <rPr>
        <sz val="10"/>
        <color theme="1"/>
        <rFont val="Arial"/>
        <family val="2"/>
      </rPr>
      <t>):</t>
    </r>
  </si>
  <si>
    <t>Number of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</si>
</sst>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164" formatCode="_-[$$-409]* #,##0.00_ ;_-[$$-409]* \-#,##0.00\ ;_-[$$-409]* &quot;-&quot;??_ ;_-@_ "/>
    <numFmt numFmtId="165" formatCode="&quot;£&quot;#,##0"/>
    <numFmt numFmtId="166" formatCode="0.0000"/>
    <numFmt numFmtId="167" formatCode="0.000000000000000000000000"/>
    <numFmt numFmtId="168" formatCode="ddd\ m/d/yyyy"/>
    <numFmt numFmtId="169" formatCode="&quot;£&quot;#,##0.00"/>
  </numFmts>
  <fonts count="12" x14ac:knownFonts="1">
    <font>
      <sz val="10"/>
      <color theme="1"/>
      <name val="Arial"/>
      <family val="2"/>
    </font>
    <font>
      <sz val="11"/>
      <color theme="1"/>
      <name val="Arial"/>
      <family val="2"/>
    </font>
    <font>
      <sz val="11"/>
      <color theme="1"/>
      <name val="Arial"/>
      <family val="2"/>
    </font>
    <font>
      <sz val="11"/>
      <color theme="1"/>
      <name val="Arial"/>
      <family val="2"/>
    </font>
    <font>
      <i/>
      <sz val="10"/>
      <color theme="1"/>
      <name val="Arial"/>
      <family val="2"/>
    </font>
    <font>
      <b/>
      <sz val="10"/>
      <color theme="1"/>
      <name val="Arial"/>
      <family val="2"/>
    </font>
    <font>
      <u/>
      <sz val="10"/>
      <color theme="10"/>
      <name val="Arial"/>
      <family val="2"/>
    </font>
    <font>
      <sz val="10"/>
      <color theme="1"/>
      <name val="Arial"/>
      <family val="2"/>
    </font>
    <font>
      <b/>
      <sz val="11"/>
      <color theme="1"/>
      <name val="Arial"/>
      <family val="2"/>
    </font>
    <font>
      <u/>
      <sz val="11"/>
      <color theme="10"/>
      <name val="Arial"/>
      <family val="2"/>
    </font>
    <font>
      <sz val="10"/>
      <color theme="1"/>
      <name val="Trebuchet MS"/>
      <family val="2"/>
    </font>
    <font>
      <b/>
      <sz val="10"/>
      <color theme="1"/>
      <name val="Trebuchet MS"/>
      <family val="2"/>
    </font>
  </fonts>
  <fills count="2">
    <fill>
      <patternFill patternType="none"/>
    </fill>
    <fill>
      <patternFill patternType="gray125"/>
    </fill>
  </fills>
  <borders count="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6" fillId="0" borderId="0" applyNumberFormat="0" applyFill="0" applyBorder="0" applyAlignment="0" applyProtection="0"/>
    <xf numFmtId="0" fontId="7" fillId="0" borderId="0"/>
    <xf numFmtId="0" fontId="9" fillId="0" borderId="0" applyNumberFormat="0" applyFill="0" applyBorder="0" applyAlignment="0" applyProtection="0"/>
    <xf numFmtId="0" fontId="3" fillId="0" borderId="0"/>
    <xf numFmtId="0" fontId="2" fillId="0" borderId="0"/>
    <xf numFmtId="44" fontId="2" fillId="0" borderId="0" applyFont="0" applyFill="0" applyBorder="0" applyAlignment="0" applyProtection="0"/>
    <xf numFmtId="44" fontId="7" fillId="0" borderId="0" applyFont="0" applyFill="0" applyBorder="0" applyAlignment="0" applyProtection="0"/>
    <xf numFmtId="0" fontId="1" fillId="0" borderId="0"/>
  </cellStyleXfs>
  <cellXfs count="36">
    <xf numFmtId="0" fontId="0" fillId="0" borderId="0" xfId="0"/>
    <xf numFmtId="0" fontId="5" fillId="0" borderId="0" xfId="0" applyFont="1"/>
    <xf numFmtId="0" fontId="6" fillId="0" borderId="0" xfId="1"/>
    <xf numFmtId="0" fontId="0" fillId="0" borderId="0" xfId="0" applyBorder="1"/>
    <xf numFmtId="0" fontId="0" fillId="0" borderId="0" xfId="0" applyFont="1"/>
    <xf numFmtId="0" fontId="0" fillId="0" borderId="0" xfId="0" applyFill="1" applyBorder="1"/>
    <xf numFmtId="9" fontId="10" fillId="0" borderId="1" xfId="0" applyNumberFormat="1" applyFont="1" applyBorder="1"/>
    <xf numFmtId="0" fontId="10" fillId="0" borderId="2" xfId="0" applyFont="1" applyBorder="1"/>
    <xf numFmtId="44" fontId="10" fillId="0" borderId="2" xfId="7" applyFont="1" applyBorder="1"/>
    <xf numFmtId="14" fontId="10" fillId="0" borderId="2" xfId="0" applyNumberFormat="1" applyFont="1" applyBorder="1"/>
    <xf numFmtId="0" fontId="10" fillId="0" borderId="3" xfId="0" applyFont="1" applyBorder="1"/>
    <xf numFmtId="0" fontId="10" fillId="0" borderId="0" xfId="0" applyFont="1"/>
    <xf numFmtId="9" fontId="10" fillId="0" borderId="4" xfId="0" applyNumberFormat="1" applyFont="1" applyBorder="1"/>
    <xf numFmtId="0" fontId="10" fillId="0" borderId="5" xfId="0" applyFont="1" applyBorder="1"/>
    <xf numFmtId="44" fontId="10" fillId="0" borderId="5" xfId="7" applyFont="1" applyBorder="1"/>
    <xf numFmtId="14" fontId="10" fillId="0" borderId="5" xfId="0" applyNumberFormat="1" applyFont="1" applyBorder="1"/>
    <xf numFmtId="0" fontId="10" fillId="0" borderId="6" xfId="0" applyFont="1" applyBorder="1"/>
    <xf numFmtId="0" fontId="11" fillId="0" borderId="7" xfId="0" applyFont="1" applyBorder="1"/>
    <xf numFmtId="44" fontId="0" fillId="0" borderId="0" xfId="7" applyFont="1"/>
    <xf numFmtId="2" fontId="0" fillId="0" borderId="0" xfId="0" applyNumberFormat="1"/>
    <xf numFmtId="166" fontId="0" fillId="0" borderId="0" xfId="0" applyNumberFormat="1"/>
    <xf numFmtId="167" fontId="0" fillId="0" borderId="0" xfId="0" applyNumberFormat="1"/>
    <xf numFmtId="168" fontId="7" fillId="0" borderId="0" xfId="2" applyNumberFormat="1"/>
    <xf numFmtId="0" fontId="7" fillId="0" borderId="0" xfId="2"/>
    <xf numFmtId="14" fontId="7" fillId="0" borderId="0" xfId="2" applyNumberFormat="1"/>
    <xf numFmtId="1" fontId="7" fillId="0" borderId="0" xfId="2" applyNumberFormat="1"/>
    <xf numFmtId="164" fontId="7" fillId="0" borderId="0" xfId="2" applyNumberFormat="1"/>
    <xf numFmtId="17" fontId="0" fillId="0" borderId="0" xfId="0" applyNumberFormat="1"/>
    <xf numFmtId="169" fontId="0" fillId="0" borderId="0" xfId="0" applyNumberFormat="1"/>
    <xf numFmtId="6" fontId="0" fillId="0" borderId="0" xfId="0" applyNumberFormat="1"/>
    <xf numFmtId="0" fontId="7" fillId="0" borderId="0" xfId="8" applyFont="1"/>
    <xf numFmtId="165" fontId="7" fillId="0" borderId="0" xfId="8" applyNumberFormat="1" applyFont="1"/>
    <xf numFmtId="10" fontId="7" fillId="0" borderId="0" xfId="8" applyNumberFormat="1" applyFont="1"/>
    <xf numFmtId="2" fontId="7" fillId="0" borderId="0" xfId="8" applyNumberFormat="1" applyFont="1"/>
    <xf numFmtId="8" fontId="7" fillId="0" borderId="0" xfId="8" applyNumberFormat="1" applyFont="1"/>
    <xf numFmtId="0" fontId="0" fillId="0" borderId="0" xfId="8" applyFont="1"/>
  </cellXfs>
  <cellStyles count="9">
    <cellStyle name="Currency" xfId="7" builtinId="4"/>
    <cellStyle name="Currency 2" xfId="6" xr:uid="{00000000-0005-0000-0000-000001000000}"/>
    <cellStyle name="Hyperlink" xfId="1" builtinId="8"/>
    <cellStyle name="Hyperlink 2" xfId="3" xr:uid="{00000000-0005-0000-0000-000003000000}"/>
    <cellStyle name="Normal" xfId="0" builtinId="0"/>
    <cellStyle name="Normal 2" xfId="2" xr:uid="{00000000-0005-0000-0000-000006000000}"/>
    <cellStyle name="Normal 3" xfId="4" xr:uid="{00000000-0005-0000-0000-000007000000}"/>
    <cellStyle name="Normal 3 2" xfId="8" xr:uid="{3804D5B1-9E9C-4F41-BF44-8D0F73E07689}"/>
    <cellStyle name="Normal 4" xfId="5" xr:uid="{00000000-0005-0000-0000-000008000000}"/>
  </cellStyles>
  <dxfs count="10">
    <dxf>
      <font>
        <strike val="0"/>
        <outline val="0"/>
        <shadow val="0"/>
        <u val="none"/>
        <vertAlign val="baseline"/>
        <sz val="10"/>
        <color theme="1"/>
        <name val="Arial"/>
        <family val="2"/>
        <scheme val="none"/>
      </font>
      <numFmt numFmtId="12" formatCode="&quot;£&quot;#,##0.00;[Red]\-&quot;£&quot;#,##0.00"/>
    </dxf>
    <dxf>
      <font>
        <strike val="0"/>
        <outline val="0"/>
        <shadow val="0"/>
        <u val="none"/>
        <vertAlign val="baseline"/>
        <sz val="10"/>
        <color theme="1"/>
        <name val="Arial"/>
        <family val="2"/>
        <scheme val="none"/>
      </font>
      <numFmt numFmtId="12" formatCode="&quot;£&quot;#,##0.00;[Red]\-&quot;£&quot;#,##0.00"/>
    </dxf>
    <dxf>
      <font>
        <strike val="0"/>
        <outline val="0"/>
        <shadow val="0"/>
        <u val="none"/>
        <vertAlign val="baseline"/>
        <sz val="10"/>
        <color theme="1"/>
        <name val="Arial"/>
        <family val="2"/>
        <scheme val="none"/>
      </font>
      <numFmt numFmtId="12" formatCode="&quot;£&quot;#,##0.00;[Red]\-&quot;£&quot;#,##0.00"/>
    </dxf>
    <dxf>
      <font>
        <strike val="0"/>
        <outline val="0"/>
        <shadow val="0"/>
        <u val="none"/>
        <vertAlign val="baseline"/>
        <sz val="10"/>
        <color theme="1"/>
        <name val="Arial"/>
        <family val="2"/>
        <scheme val="none"/>
      </font>
      <numFmt numFmtId="12" formatCode="&quot;£&quot;#,##0.00;[Red]\-&quot;£&quot;#,##0.00"/>
    </dxf>
    <dxf>
      <font>
        <strike val="0"/>
        <outline val="0"/>
        <shadow val="0"/>
        <u val="none"/>
        <vertAlign val="baseline"/>
        <sz val="10"/>
        <color theme="1"/>
        <name val="Arial"/>
        <family val="2"/>
        <scheme val="none"/>
      </font>
      <numFmt numFmtId="0" formatCode="General"/>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numFmt numFmtId="164" formatCode="_-[$$-409]* #,##0.00_ ;_-[$$-409]* \-#,##0.00\ ;_-[$$-409]* &quot;-&quot;??_ ;_-@_ "/>
    </dxf>
    <dxf>
      <numFmt numFmtId="1" formatCode="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Q&amp;A%20example%20data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r data"/>
      <sheetName val="Lists of names"/>
      <sheetName val="NPV calculation"/>
      <sheetName val="Nominal ledger"/>
      <sheetName val="Solver data"/>
      <sheetName val="Invoice table"/>
      <sheetName val="Loan data"/>
      <sheetName val="Pivoted data"/>
    </sheetNames>
    <sheetDataSet>
      <sheetData sheetId="0"/>
      <sheetData sheetId="1"/>
      <sheetData sheetId="2">
        <row r="2">
          <cell r="D2">
            <v>0.15</v>
          </cell>
        </row>
        <row r="3">
          <cell r="D3">
            <v>0.1</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F7BF34-7075-4F0F-AB2D-4269039F3A5B}" name="Sales_Data" displayName="Sales_Data" ref="B8:I493" totalsRowShown="0">
  <autoFilter ref="B8:I493" xr:uid="{329FE435-FB3C-4EEE-BC49-FA307FE17999}"/>
  <tableColumns count="8">
    <tableColumn id="1" xr3:uid="{3A2BA228-3C6D-45D4-A86B-567F705FD958}" name="OrderDate" dataDxfId="9"/>
    <tableColumn id="2" xr3:uid="{00CEBD62-6FCC-4E45-977A-F53D679881FD}" name="Region"/>
    <tableColumn id="3" xr3:uid="{449E9189-0D2F-42D1-9BB6-4456047A453D}" name="City"/>
    <tableColumn id="4" xr3:uid="{65AA9C4B-5C1D-4BA8-B176-F04EE9F5E8CF}" name="Store" dataDxfId="8"/>
    <tableColumn id="5" xr3:uid="{E5DA6A09-C36B-42B8-8820-8073C76D0032}" name="Category"/>
    <tableColumn id="6" xr3:uid="{9C476872-B4B3-4B31-B25A-CB6FF0F4976C}" name="Product"/>
    <tableColumn id="7" xr3:uid="{644343AE-5282-4B9C-B826-5B98030FEB27}" name="Quantity"/>
    <tableColumn id="14" xr3:uid="{9883A921-5528-44A1-80CA-6BDDA59470B9}" name="TotalPrice" dataDxfId="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330A93-277C-45BB-94C6-413F4D30F082}" name="LoanCalculator" displayName="LoanCalculator" ref="B11:F198" totalsRowShown="0" headerRowDxfId="6" dataDxfId="5">
  <autoFilter ref="B11:F198" xr:uid="{00000000-0009-0000-0100-000001000000}"/>
  <tableColumns count="5">
    <tableColumn id="1" xr3:uid="{9383F052-ADB1-44D6-B920-9768A2607141}" name="Period" dataDxfId="4">
      <calculatedColumnFormula>ROW()-ROW(LoanCalculator[[#Headers],[Period]])</calculatedColumnFormula>
    </tableColumn>
    <tableColumn id="2" xr3:uid="{B2FCA2F5-E894-4C0E-BB80-076CDE303E58}" name="Opening balance" dataDxfId="3">
      <calculatedColumnFormula>F11</calculatedColumnFormula>
    </tableColumn>
    <tableColumn id="3" xr3:uid="{780E0438-C14F-4072-A9C7-FE993B6928C9}" name="Interest" dataDxfId="2">
      <calculatedColumnFormula>ROUND(LoanCalculator[[#This Row],[Opening balance]]*$D$6/12,2)</calculatedColumnFormula>
    </tableColumn>
    <tableColumn id="4" xr3:uid="{0FB92083-931C-42B6-8762-FE8C9E9FD14C}" name="Repayment" dataDxfId="1">
      <calculatedColumnFormula>MAX($D$5,-LoanCalculator[[#This Row],[Opening balance]]-LoanCalculator[[#This Row],[Interest]])</calculatedColumnFormula>
    </tableColumn>
    <tableColumn id="5" xr3:uid="{CFC442AD-DCA6-4296-A532-D18C2C4B6618}" name="Closing balance" dataDxfId="0">
      <calculatedColumnFormula>SUM(LoanCalculator[[#This Row],[Opening balance]:[Repayment]])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caew.com/en/technical/information-technology/excel/spreadsheet-competency-framework" TargetMode="External"/><Relationship Id="rId1" Type="http://schemas.openxmlformats.org/officeDocument/2006/relationships/hyperlink" Target="https://ion.icaew.com/itcounts/b/weblog/posts/excel-tip-of-the-week-index"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3"/>
  <sheetViews>
    <sheetView tabSelected="1" zoomScale="150" zoomScaleNormal="150" workbookViewId="0">
      <selection activeCell="B2" sqref="B2"/>
    </sheetView>
  </sheetViews>
  <sheetFormatPr defaultRowHeight="13.2" x14ac:dyDescent="0.25"/>
  <cols>
    <col min="2" max="2" width="9.6640625" bestFit="1" customWidth="1"/>
    <col min="3" max="3" width="16.6640625" customWidth="1"/>
    <col min="4" max="4" width="17" bestFit="1" customWidth="1"/>
    <col min="5" max="5" width="23.109375" bestFit="1" customWidth="1"/>
    <col min="6" max="6" width="37.5546875" customWidth="1"/>
  </cols>
  <sheetData>
    <row r="2" spans="2:6" x14ac:dyDescent="0.25">
      <c r="B2" t="s">
        <v>19</v>
      </c>
    </row>
    <row r="4" spans="2:6" x14ac:dyDescent="0.25">
      <c r="B4" t="s">
        <v>0</v>
      </c>
      <c r="C4" t="s">
        <v>1</v>
      </c>
      <c r="D4" t="s">
        <v>2</v>
      </c>
    </row>
    <row r="5" spans="2:6" x14ac:dyDescent="0.25">
      <c r="E5" s="2" t="s">
        <v>3</v>
      </c>
      <c r="F5" s="2" t="s">
        <v>4</v>
      </c>
    </row>
    <row r="6" spans="2:6" x14ac:dyDescent="0.25">
      <c r="B6" t="s">
        <v>5</v>
      </c>
      <c r="C6" s="3">
        <v>1</v>
      </c>
      <c r="D6" s="3" t="s">
        <v>20</v>
      </c>
      <c r="E6" t="s">
        <v>28</v>
      </c>
      <c r="F6" s="4" t="s">
        <v>7</v>
      </c>
    </row>
    <row r="7" spans="2:6" x14ac:dyDescent="0.25">
      <c r="C7" s="3">
        <v>2</v>
      </c>
      <c r="D7" s="3" t="s">
        <v>21</v>
      </c>
      <c r="E7" t="s">
        <v>29</v>
      </c>
      <c r="F7" s="4" t="s">
        <v>7</v>
      </c>
    </row>
    <row r="8" spans="2:6" x14ac:dyDescent="0.25">
      <c r="C8" s="3">
        <v>3</v>
      </c>
      <c r="D8" s="3" t="s">
        <v>22</v>
      </c>
      <c r="E8" t="s">
        <v>30</v>
      </c>
      <c r="F8" s="4" t="s">
        <v>6</v>
      </c>
    </row>
    <row r="9" spans="2:6" x14ac:dyDescent="0.25">
      <c r="C9" s="3">
        <v>4</v>
      </c>
      <c r="D9" s="3" t="s">
        <v>23</v>
      </c>
      <c r="E9" t="s">
        <v>31</v>
      </c>
      <c r="F9" s="4" t="s">
        <v>7</v>
      </c>
    </row>
    <row r="10" spans="2:6" x14ac:dyDescent="0.25">
      <c r="C10" s="3">
        <v>5</v>
      </c>
      <c r="D10" s="3" t="s">
        <v>24</v>
      </c>
      <c r="E10" t="s">
        <v>32</v>
      </c>
      <c r="F10" s="4" t="s">
        <v>6</v>
      </c>
    </row>
    <row r="11" spans="2:6" x14ac:dyDescent="0.25">
      <c r="C11" s="3">
        <v>6</v>
      </c>
      <c r="D11" s="3" t="s">
        <v>25</v>
      </c>
      <c r="E11" t="s">
        <v>33</v>
      </c>
      <c r="F11" s="4" t="s">
        <v>6</v>
      </c>
    </row>
    <row r="12" spans="2:6" x14ac:dyDescent="0.25">
      <c r="C12" s="3">
        <v>7</v>
      </c>
      <c r="D12" s="3" t="s">
        <v>26</v>
      </c>
      <c r="E12" t="s">
        <v>34</v>
      </c>
      <c r="F12" s="4" t="s">
        <v>7</v>
      </c>
    </row>
    <row r="13" spans="2:6" x14ac:dyDescent="0.25">
      <c r="C13" s="3">
        <v>8</v>
      </c>
      <c r="D13" s="5" t="s">
        <v>27</v>
      </c>
      <c r="E13" t="s">
        <v>35</v>
      </c>
      <c r="F13" s="4" t="s">
        <v>6</v>
      </c>
    </row>
  </sheetData>
  <hyperlinks>
    <hyperlink ref="E5" r:id="rId1" xr:uid="{00000000-0004-0000-0000-000000000000}"/>
    <hyperlink ref="F5"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C55-9BC4-4B03-960F-452894260A9D}">
  <sheetPr codeName="Sheet2"/>
  <dimension ref="B2:E34"/>
  <sheetViews>
    <sheetView zoomScale="150" zoomScaleNormal="150" workbookViewId="0">
      <selection activeCell="B2" sqref="B2"/>
    </sheetView>
  </sheetViews>
  <sheetFormatPr defaultRowHeight="13.2" x14ac:dyDescent="0.25"/>
  <cols>
    <col min="3" max="4" width="11.44140625" bestFit="1" customWidth="1"/>
    <col min="5" max="5" width="11.77734375" bestFit="1" customWidth="1"/>
  </cols>
  <sheetData>
    <row r="2" spans="2:5" x14ac:dyDescent="0.25">
      <c r="B2" t="s">
        <v>48</v>
      </c>
    </row>
    <row r="3" spans="2:5" x14ac:dyDescent="0.25">
      <c r="C3">
        <v>5</v>
      </c>
      <c r="D3">
        <v>5</v>
      </c>
      <c r="E3" t="b">
        <f>C3=D3</f>
        <v>1</v>
      </c>
    </row>
    <row r="4" spans="2:5" x14ac:dyDescent="0.25">
      <c r="C4">
        <v>4</v>
      </c>
      <c r="D4">
        <v>8</v>
      </c>
      <c r="E4" t="b">
        <f>C4&gt;D4</f>
        <v>0</v>
      </c>
    </row>
    <row r="5" spans="2:5" x14ac:dyDescent="0.25">
      <c r="C5">
        <v>3</v>
      </c>
      <c r="D5">
        <v>3</v>
      </c>
      <c r="E5" t="b">
        <f>C5&lt;D5</f>
        <v>0</v>
      </c>
    </row>
    <row r="6" spans="2:5" x14ac:dyDescent="0.25">
      <c r="C6">
        <v>3</v>
      </c>
      <c r="D6">
        <v>3</v>
      </c>
      <c r="E6" t="b">
        <f>C6&lt;=D6</f>
        <v>1</v>
      </c>
    </row>
    <row r="8" spans="2:5" x14ac:dyDescent="0.25">
      <c r="B8" t="s">
        <v>49</v>
      </c>
    </row>
    <row r="9" spans="2:5" x14ac:dyDescent="0.25">
      <c r="B9" t="s">
        <v>50</v>
      </c>
    </row>
    <row r="10" spans="2:5" x14ac:dyDescent="0.25">
      <c r="B10" t="s">
        <v>51</v>
      </c>
    </row>
    <row r="11" spans="2:5" x14ac:dyDescent="0.25">
      <c r="C11" s="1" t="s">
        <v>52</v>
      </c>
      <c r="D11" s="1" t="s">
        <v>8</v>
      </c>
      <c r="E11" s="1" t="s">
        <v>53</v>
      </c>
    </row>
    <row r="12" spans="2:5" x14ac:dyDescent="0.25">
      <c r="C12" t="s">
        <v>17</v>
      </c>
      <c r="D12" s="18">
        <v>1000</v>
      </c>
      <c r="E12" s="18">
        <f>IF(C12="A", D12*5%, MAX((D12-200)*6%, 0))</f>
        <v>50</v>
      </c>
    </row>
    <row r="13" spans="2:5" x14ac:dyDescent="0.25">
      <c r="C13" t="s">
        <v>18</v>
      </c>
      <c r="D13" s="18">
        <v>1000</v>
      </c>
      <c r="E13" s="18">
        <f>IF(C13="A", D13*5%, MAX((D13-200)*6%, 0))</f>
        <v>48</v>
      </c>
    </row>
    <row r="15" spans="2:5" x14ac:dyDescent="0.25">
      <c r="B15" t="s">
        <v>54</v>
      </c>
    </row>
    <row r="16" spans="2:5" x14ac:dyDescent="0.25">
      <c r="B16" t="s">
        <v>55</v>
      </c>
    </row>
    <row r="17" spans="2:5" x14ac:dyDescent="0.25">
      <c r="B17" t="s">
        <v>56</v>
      </c>
    </row>
    <row r="18" spans="2:5" x14ac:dyDescent="0.25">
      <c r="C18" s="1" t="s">
        <v>57</v>
      </c>
      <c r="D18" s="1" t="s">
        <v>8</v>
      </c>
      <c r="E18" s="1" t="s">
        <v>58</v>
      </c>
    </row>
    <row r="19" spans="2:5" x14ac:dyDescent="0.25">
      <c r="C19" t="s">
        <v>17</v>
      </c>
      <c r="D19" s="18">
        <v>8000</v>
      </c>
      <c r="E19" t="str">
        <f>IF(AND(D19&gt;10000,OR(C19="A",C19="C")),"High","Low")</f>
        <v>Low</v>
      </c>
    </row>
    <row r="20" spans="2:5" x14ac:dyDescent="0.25">
      <c r="C20" t="s">
        <v>17</v>
      </c>
      <c r="D20" s="18">
        <v>11000</v>
      </c>
      <c r="E20" t="str">
        <f t="shared" ref="E20:E24" si="0">IF(AND(D20&gt;10000,OR(C20="A",C20="C")),"High","Low")</f>
        <v>High</v>
      </c>
    </row>
    <row r="21" spans="2:5" x14ac:dyDescent="0.25">
      <c r="C21" t="s">
        <v>18</v>
      </c>
      <c r="D21" s="18">
        <v>22000</v>
      </c>
      <c r="E21" t="str">
        <f t="shared" si="0"/>
        <v>Low</v>
      </c>
    </row>
    <row r="22" spans="2:5" x14ac:dyDescent="0.25">
      <c r="C22" t="s">
        <v>18</v>
      </c>
      <c r="D22" s="18">
        <v>6000</v>
      </c>
      <c r="E22" t="str">
        <f t="shared" si="0"/>
        <v>Low</v>
      </c>
    </row>
    <row r="23" spans="2:5" x14ac:dyDescent="0.25">
      <c r="C23" t="s">
        <v>16</v>
      </c>
      <c r="D23" s="18">
        <v>5000</v>
      </c>
      <c r="E23" t="str">
        <f t="shared" si="0"/>
        <v>Low</v>
      </c>
    </row>
    <row r="24" spans="2:5" x14ac:dyDescent="0.25">
      <c r="C24" t="s">
        <v>16</v>
      </c>
      <c r="D24" s="18">
        <v>17000</v>
      </c>
      <c r="E24" t="str">
        <f t="shared" si="0"/>
        <v>High</v>
      </c>
    </row>
    <row r="26" spans="2:5" x14ac:dyDescent="0.25">
      <c r="B26" t="s">
        <v>59</v>
      </c>
    </row>
    <row r="27" spans="2:5" x14ac:dyDescent="0.25">
      <c r="B27" t="s">
        <v>60</v>
      </c>
    </row>
    <row r="28" spans="2:5" x14ac:dyDescent="0.25">
      <c r="C28" s="1" t="s">
        <v>8</v>
      </c>
      <c r="D28" s="1" t="s">
        <v>61</v>
      </c>
    </row>
    <row r="29" spans="2:5" x14ac:dyDescent="0.25">
      <c r="C29" s="18">
        <v>8000</v>
      </c>
      <c r="D29">
        <f>IF(C29&lt;10000,1,IF(C29&lt;20000,2,3))</f>
        <v>1</v>
      </c>
    </row>
    <row r="30" spans="2:5" x14ac:dyDescent="0.25">
      <c r="C30" s="18">
        <v>11000</v>
      </c>
      <c r="D30">
        <f t="shared" ref="D30:D34" si="1">IF(C30&lt;10000,1,IF(C30&lt;20000,2,3))</f>
        <v>2</v>
      </c>
    </row>
    <row r="31" spans="2:5" x14ac:dyDescent="0.25">
      <c r="C31" s="18">
        <v>22000</v>
      </c>
      <c r="D31">
        <f t="shared" si="1"/>
        <v>3</v>
      </c>
    </row>
    <row r="32" spans="2:5" x14ac:dyDescent="0.25">
      <c r="C32" s="18">
        <v>6000</v>
      </c>
      <c r="D32">
        <f t="shared" si="1"/>
        <v>1</v>
      </c>
    </row>
    <row r="33" spans="3:4" x14ac:dyDescent="0.25">
      <c r="C33" s="18">
        <v>5000</v>
      </c>
      <c r="D33">
        <f t="shared" si="1"/>
        <v>1</v>
      </c>
    </row>
    <row r="34" spans="3:4" x14ac:dyDescent="0.25">
      <c r="C34" s="18">
        <v>17000</v>
      </c>
      <c r="D34">
        <f t="shared" si="1"/>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D8C2-AD0D-40D6-B29D-76C002939E44}">
  <sheetPr codeName="Sheet3"/>
  <dimension ref="B2:E28"/>
  <sheetViews>
    <sheetView zoomScale="150" zoomScaleNormal="150" workbookViewId="0">
      <selection activeCell="B2" sqref="B2"/>
    </sheetView>
  </sheetViews>
  <sheetFormatPr defaultRowHeight="13.2" x14ac:dyDescent="0.25"/>
  <cols>
    <col min="3" max="3" width="10.6640625" bestFit="1" customWidth="1"/>
    <col min="4" max="4" width="19.5546875" bestFit="1" customWidth="1"/>
    <col min="5" max="5" width="31.44140625" bestFit="1" customWidth="1"/>
  </cols>
  <sheetData>
    <row r="2" spans="2:5" x14ac:dyDescent="0.25">
      <c r="B2" t="s">
        <v>62</v>
      </c>
    </row>
    <row r="3" spans="2:5" x14ac:dyDescent="0.25">
      <c r="B3" t="s">
        <v>63</v>
      </c>
    </row>
    <row r="5" spans="2:5" x14ac:dyDescent="0.25">
      <c r="B5" t="s">
        <v>64</v>
      </c>
    </row>
    <row r="6" spans="2:5" x14ac:dyDescent="0.25">
      <c r="B6" t="s">
        <v>65</v>
      </c>
    </row>
    <row r="7" spans="2:5" s="1" customFormat="1" x14ac:dyDescent="0.25">
      <c r="C7" s="1" t="s">
        <v>66</v>
      </c>
      <c r="D7" s="1" t="s">
        <v>67</v>
      </c>
      <c r="E7" s="1" t="s">
        <v>68</v>
      </c>
    </row>
    <row r="8" spans="2:5" x14ac:dyDescent="0.25">
      <c r="C8">
        <v>28.552</v>
      </c>
    </row>
    <row r="9" spans="2:5" x14ac:dyDescent="0.25">
      <c r="C9">
        <v>27.399000000000001</v>
      </c>
      <c r="D9">
        <f>C8-C9</f>
        <v>1.1529999999999987</v>
      </c>
    </row>
    <row r="10" spans="2:5" x14ac:dyDescent="0.25">
      <c r="C10">
        <v>26.245999999999999</v>
      </c>
      <c r="D10">
        <f>C9-C10</f>
        <v>1.1530000000000022</v>
      </c>
      <c r="E10" s="21">
        <f>D9-D10</f>
        <v>-3.5527136788005009E-15</v>
      </c>
    </row>
    <row r="12" spans="2:5" x14ac:dyDescent="0.25">
      <c r="B12" t="s">
        <v>69</v>
      </c>
    </row>
    <row r="13" spans="2:5" x14ac:dyDescent="0.25">
      <c r="B13" t="s">
        <v>70</v>
      </c>
    </row>
    <row r="14" spans="2:5" x14ac:dyDescent="0.25">
      <c r="C14" s="19">
        <f>E10</f>
        <v>-3.5527136788005009E-15</v>
      </c>
    </row>
    <row r="16" spans="2:5" x14ac:dyDescent="0.25">
      <c r="B16" t="s">
        <v>71</v>
      </c>
    </row>
    <row r="17" spans="2:5" s="1" customFormat="1" x14ac:dyDescent="0.25">
      <c r="C17" s="1" t="s">
        <v>8</v>
      </c>
      <c r="D17" s="1" t="s">
        <v>72</v>
      </c>
      <c r="E17" s="1" t="s">
        <v>73</v>
      </c>
    </row>
    <row r="18" spans="2:5" x14ac:dyDescent="0.25">
      <c r="C18" s="20">
        <v>1553.2825</v>
      </c>
      <c r="D18" t="s">
        <v>74</v>
      </c>
      <c r="E18" s="20">
        <f>ROUND(C18,0)</f>
        <v>1553</v>
      </c>
    </row>
    <row r="19" spans="2:5" x14ac:dyDescent="0.25">
      <c r="C19" s="20">
        <v>1553.2825</v>
      </c>
      <c r="D19" t="s">
        <v>75</v>
      </c>
      <c r="E19" s="20">
        <f>ROUNDUP(C19,0)</f>
        <v>1554</v>
      </c>
    </row>
    <row r="20" spans="2:5" x14ac:dyDescent="0.25">
      <c r="C20" s="20">
        <v>1553.2825</v>
      </c>
      <c r="D20" t="s">
        <v>76</v>
      </c>
      <c r="E20" s="20">
        <f>ROUND(C20,2)</f>
        <v>1553.28</v>
      </c>
    </row>
    <row r="21" spans="2:5" x14ac:dyDescent="0.25">
      <c r="C21" s="20">
        <v>1553.2825</v>
      </c>
      <c r="D21" t="s">
        <v>77</v>
      </c>
      <c r="E21" s="20">
        <f>ROUNDDOWN(C21,-3)</f>
        <v>1000</v>
      </c>
    </row>
    <row r="23" spans="2:5" x14ac:dyDescent="0.25">
      <c r="B23" t="s">
        <v>78</v>
      </c>
    </row>
    <row r="24" spans="2:5" x14ac:dyDescent="0.25">
      <c r="C24" s="1" t="s">
        <v>8</v>
      </c>
      <c r="D24" s="1" t="s">
        <v>72</v>
      </c>
      <c r="E24" s="1" t="s">
        <v>73</v>
      </c>
    </row>
    <row r="25" spans="2:5" x14ac:dyDescent="0.25">
      <c r="C25" s="20">
        <v>1553.2825</v>
      </c>
      <c r="D25" t="s">
        <v>79</v>
      </c>
      <c r="E25" s="20">
        <f>MROUND(C25,0.25)</f>
        <v>1553.25</v>
      </c>
    </row>
    <row r="26" spans="2:5" x14ac:dyDescent="0.25">
      <c r="C26" s="20">
        <v>1553.2825</v>
      </c>
      <c r="D26" t="s">
        <v>80</v>
      </c>
      <c r="E26" s="20">
        <f>_xlfn.CEILING.MATH(C26,0.25)</f>
        <v>1553.5</v>
      </c>
    </row>
    <row r="27" spans="2:5" x14ac:dyDescent="0.25">
      <c r="C27" s="20">
        <v>1553.2825</v>
      </c>
      <c r="D27" t="s">
        <v>81</v>
      </c>
      <c r="E27" s="20">
        <f>MROUND(C27,100)</f>
        <v>1600</v>
      </c>
    </row>
    <row r="28" spans="2:5" x14ac:dyDescent="0.25">
      <c r="C28" s="20">
        <v>1553.2825</v>
      </c>
      <c r="D28" t="s">
        <v>82</v>
      </c>
      <c r="E28" s="20">
        <f>_xlfn.FLOOR.MATH(C28,12)</f>
        <v>1548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4D5-71CD-42DB-B21D-9CDDD9B8B28C}">
  <sheetPr codeName="Sheet4"/>
  <dimension ref="B2:H17"/>
  <sheetViews>
    <sheetView zoomScale="150" zoomScaleNormal="150" workbookViewId="0">
      <selection activeCell="B2" sqref="B2"/>
    </sheetView>
  </sheetViews>
  <sheetFormatPr defaultRowHeight="13.2" x14ac:dyDescent="0.25"/>
  <cols>
    <col min="4" max="4" width="17.21875" bestFit="1" customWidth="1"/>
    <col min="5" max="5" width="12" bestFit="1" customWidth="1"/>
    <col min="6" max="6" width="11.88671875" bestFit="1" customWidth="1"/>
    <col min="7" max="7" width="27.44140625" bestFit="1" customWidth="1"/>
    <col min="8" max="8" width="21" bestFit="1" customWidth="1"/>
  </cols>
  <sheetData>
    <row r="2" spans="2:8" x14ac:dyDescent="0.25">
      <c r="B2" t="s">
        <v>47</v>
      </c>
    </row>
    <row r="3" spans="2:8" ht="13.8" x14ac:dyDescent="0.25">
      <c r="B3" t="s">
        <v>46</v>
      </c>
    </row>
    <row r="5" spans="2:8" x14ac:dyDescent="0.25">
      <c r="B5" t="s">
        <v>45</v>
      </c>
    </row>
    <row r="6" spans="2:8" x14ac:dyDescent="0.25">
      <c r="B6" t="s">
        <v>44</v>
      </c>
    </row>
    <row r="7" spans="2:8" x14ac:dyDescent="0.25">
      <c r="B7" t="s">
        <v>43</v>
      </c>
    </row>
    <row r="8" spans="2:8" ht="13.8" thickBot="1" x14ac:dyDescent="0.3"/>
    <row r="9" spans="2:8" ht="15" thickBot="1" x14ac:dyDescent="0.4">
      <c r="C9" s="11"/>
      <c r="D9" s="17" t="s">
        <v>42</v>
      </c>
      <c r="E9" s="17" t="s">
        <v>41</v>
      </c>
      <c r="F9" s="17" t="s">
        <v>40</v>
      </c>
      <c r="G9" s="17" t="s">
        <v>39</v>
      </c>
      <c r="H9" s="17" t="s">
        <v>38</v>
      </c>
    </row>
    <row r="10" spans="2:8" ht="14.4" x14ac:dyDescent="0.35">
      <c r="B10" s="11" t="s">
        <v>37</v>
      </c>
      <c r="D10" s="16" t="s">
        <v>1</v>
      </c>
      <c r="E10" s="15">
        <v>42248</v>
      </c>
      <c r="F10" s="14">
        <v>35000</v>
      </c>
      <c r="G10" s="13" t="s">
        <v>37</v>
      </c>
      <c r="H10" s="12">
        <v>0.05</v>
      </c>
    </row>
    <row r="11" spans="2:8" ht="14.4" x14ac:dyDescent="0.35">
      <c r="B11" s="11" t="s">
        <v>36</v>
      </c>
      <c r="D11" s="16"/>
      <c r="E11" s="15"/>
      <c r="F11" s="14"/>
      <c r="G11" s="13"/>
      <c r="H11" s="12"/>
    </row>
    <row r="12" spans="2:8" ht="14.4" x14ac:dyDescent="0.35">
      <c r="C12" s="11"/>
      <c r="D12" s="16"/>
      <c r="E12" s="15"/>
      <c r="F12" s="14"/>
      <c r="G12" s="13"/>
      <c r="H12" s="12"/>
    </row>
    <row r="13" spans="2:8" ht="14.4" x14ac:dyDescent="0.35">
      <c r="C13" s="11"/>
      <c r="D13" s="16"/>
      <c r="E13" s="15"/>
      <c r="F13" s="14"/>
      <c r="G13" s="13"/>
      <c r="H13" s="12"/>
    </row>
    <row r="14" spans="2:8" ht="14.4" x14ac:dyDescent="0.35">
      <c r="C14" s="11"/>
      <c r="D14" s="16"/>
      <c r="E14" s="15"/>
      <c r="F14" s="14"/>
      <c r="G14" s="13"/>
      <c r="H14" s="12"/>
    </row>
    <row r="15" spans="2:8" ht="14.4" x14ac:dyDescent="0.35">
      <c r="C15" s="11"/>
      <c r="D15" s="16"/>
      <c r="E15" s="15"/>
      <c r="F15" s="14"/>
      <c r="G15" s="13"/>
      <c r="H15" s="12"/>
    </row>
    <row r="16" spans="2:8" ht="14.4" x14ac:dyDescent="0.35">
      <c r="C16" s="11"/>
      <c r="D16" s="16"/>
      <c r="E16" s="15"/>
      <c r="F16" s="14"/>
      <c r="G16" s="13"/>
      <c r="H16" s="12"/>
    </row>
    <row r="17" spans="3:8" ht="15" thickBot="1" x14ac:dyDescent="0.4">
      <c r="C17" s="11"/>
      <c r="D17" s="10"/>
      <c r="E17" s="9"/>
      <c r="F17" s="8"/>
      <c r="G17" s="7"/>
      <c r="H17" s="6"/>
    </row>
  </sheetData>
  <dataValidations count="5">
    <dataValidation type="list" allowBlank="1" showInputMessage="1" showErrorMessage="1" errorTitle="Invalid entry" error="You MUST enter either &quot;Yes&quot; or &quot;No&quot; in this cell" prompt="Select yes/no" sqref="G10:G17" xr:uid="{00000000-0002-0000-0500-000004000000}">
      <formula1>$B$10:$B$11</formula1>
    </dataValidation>
    <dataValidation type="textLength" allowBlank="1" showInputMessage="1" showErrorMessage="1" errorTitle="Invalid name length" error="Names must be between 5 and 100 characters!" promptTitle="Input employee name" prompt="Please input employee name (first / last)" sqref="D10:D17" xr:uid="{00000000-0002-0000-0500-000003000000}">
      <formula1>5</formula1>
      <formula2>100</formula2>
    </dataValidation>
    <dataValidation type="date" allowBlank="1" showInputMessage="1" showErrorMessage="1" errorTitle="Invalid start date" error="Please input a date between 1990-01-01 and 2020-12-31" promptTitle="Input join date" prompt="Joining dates must be between 1990 and 2020" sqref="E10:E17" xr:uid="{00000000-0002-0000-0500-000002000000}">
      <formula1>32874</formula1>
      <formula2>44196</formula2>
    </dataValidation>
    <dataValidation type="whole" allowBlank="1" showInputMessage="1" showErrorMessage="1" errorTitle="Invalid salary amount" error="Please re-enter a whole-pound amount between £10,000 and £150,000." promptTitle="Input annual salary" prompt="Whole values between £10k and £150k are accepted" sqref="F10:F17" xr:uid="{00000000-0002-0000-0500-000001000000}">
      <formula1>10000</formula1>
      <formula2>150000</formula2>
    </dataValidation>
    <dataValidation type="decimal" allowBlank="1" showInputMessage="1" showErrorMessage="1" errorTitle="Invalid deduction percentage" error="Deduction must be between 0% and 10%" promptTitle="Input pension deduction" prompt="Use 0% for opted-out employees" sqref="H10:H17" xr:uid="{00000000-0002-0000-0500-000000000000}">
      <formula1>0</formula1>
      <formula2>0.1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4A20-E1EE-45F3-BFFA-9DE0EB6415E9}">
  <sheetPr codeName="Sheet5"/>
  <dimension ref="B2:I493"/>
  <sheetViews>
    <sheetView zoomScale="150" zoomScaleNormal="150" workbookViewId="0">
      <selection activeCell="B2" sqref="B2"/>
    </sheetView>
  </sheetViews>
  <sheetFormatPr defaultRowHeight="13.2" x14ac:dyDescent="0.25"/>
  <cols>
    <col min="2" max="2" width="11.21875" customWidth="1"/>
    <col min="3" max="3" width="9.33203125" bestFit="1" customWidth="1"/>
    <col min="4" max="4" width="11.21875" bestFit="1" customWidth="1"/>
    <col min="5" max="5" width="8" bestFit="1" customWidth="1"/>
    <col min="6" max="6" width="11.21875" bestFit="1" customWidth="1"/>
    <col min="7" max="7" width="13.77734375" bestFit="1" customWidth="1"/>
    <col min="8" max="8" width="10.6640625" bestFit="1" customWidth="1"/>
    <col min="9" max="9" width="12" bestFit="1" customWidth="1"/>
  </cols>
  <sheetData>
    <row r="2" spans="2:9" x14ac:dyDescent="0.25">
      <c r="B2" t="s">
        <v>83</v>
      </c>
    </row>
    <row r="3" spans="2:9" x14ac:dyDescent="0.25">
      <c r="B3" t="s">
        <v>84</v>
      </c>
    </row>
    <row r="5" spans="2:9" x14ac:dyDescent="0.25">
      <c r="B5" t="s">
        <v>85</v>
      </c>
    </row>
    <row r="6" spans="2:9" x14ac:dyDescent="0.25">
      <c r="B6" t="s">
        <v>86</v>
      </c>
    </row>
    <row r="8" spans="2:9" x14ac:dyDescent="0.25">
      <c r="B8" s="22" t="s">
        <v>87</v>
      </c>
      <c r="C8" s="23" t="s">
        <v>88</v>
      </c>
      <c r="D8" s="23" t="s">
        <v>89</v>
      </c>
      <c r="E8" s="23" t="s">
        <v>90</v>
      </c>
      <c r="F8" s="23" t="s">
        <v>91</v>
      </c>
      <c r="G8" s="23" t="s">
        <v>92</v>
      </c>
      <c r="H8" s="23" t="s">
        <v>93</v>
      </c>
      <c r="I8" s="23" t="s">
        <v>94</v>
      </c>
    </row>
    <row r="9" spans="2:9" x14ac:dyDescent="0.25">
      <c r="B9" s="24">
        <v>43466</v>
      </c>
      <c r="C9" s="23" t="s">
        <v>95</v>
      </c>
      <c r="D9" s="23" t="s">
        <v>96</v>
      </c>
      <c r="E9" s="25">
        <v>3090</v>
      </c>
      <c r="F9" s="23" t="s">
        <v>97</v>
      </c>
      <c r="G9" s="23" t="s">
        <v>98</v>
      </c>
      <c r="H9" s="23">
        <v>24</v>
      </c>
      <c r="I9" s="26">
        <v>32.26</v>
      </c>
    </row>
    <row r="10" spans="2:9" x14ac:dyDescent="0.25">
      <c r="B10" s="24">
        <v>43466</v>
      </c>
      <c r="C10" s="23" t="s">
        <v>95</v>
      </c>
      <c r="D10" s="23" t="s">
        <v>96</v>
      </c>
      <c r="E10" s="25">
        <v>3036</v>
      </c>
      <c r="F10" s="23" t="s">
        <v>99</v>
      </c>
      <c r="G10" s="23" t="s">
        <v>100</v>
      </c>
      <c r="H10" s="23">
        <v>40</v>
      </c>
      <c r="I10" s="26">
        <v>74.8</v>
      </c>
    </row>
    <row r="11" spans="2:9" x14ac:dyDescent="0.25">
      <c r="B11" s="24">
        <v>43467</v>
      </c>
      <c r="C11" s="23" t="s">
        <v>95</v>
      </c>
      <c r="D11" s="23" t="s">
        <v>101</v>
      </c>
      <c r="E11" s="25">
        <v>3000</v>
      </c>
      <c r="F11" s="23" t="s">
        <v>99</v>
      </c>
      <c r="G11" s="23" t="s">
        <v>102</v>
      </c>
      <c r="H11" s="23">
        <v>249</v>
      </c>
      <c r="I11" s="26">
        <v>707.16</v>
      </c>
    </row>
    <row r="12" spans="2:9" x14ac:dyDescent="0.25">
      <c r="B12" s="24">
        <v>43467</v>
      </c>
      <c r="C12" s="23" t="s">
        <v>95</v>
      </c>
      <c r="D12" s="23" t="s">
        <v>103</v>
      </c>
      <c r="E12" s="25">
        <v>3082</v>
      </c>
      <c r="F12" s="23" t="s">
        <v>104</v>
      </c>
      <c r="G12" s="23" t="s">
        <v>105</v>
      </c>
      <c r="H12" s="23">
        <v>66</v>
      </c>
      <c r="I12" s="26">
        <v>116.82</v>
      </c>
    </row>
    <row r="13" spans="2:9" x14ac:dyDescent="0.25">
      <c r="B13" s="24">
        <v>43468</v>
      </c>
      <c r="C13" s="23" t="s">
        <v>106</v>
      </c>
      <c r="D13" s="23" t="s">
        <v>107</v>
      </c>
      <c r="E13" s="25">
        <v>3062</v>
      </c>
      <c r="F13" s="23" t="s">
        <v>104</v>
      </c>
      <c r="G13" s="23" t="s">
        <v>105</v>
      </c>
      <c r="H13" s="23">
        <v>20</v>
      </c>
      <c r="I13" s="26">
        <v>35.4</v>
      </c>
    </row>
    <row r="14" spans="2:9" x14ac:dyDescent="0.25">
      <c r="B14" s="24">
        <v>43468</v>
      </c>
      <c r="C14" s="23" t="s">
        <v>106</v>
      </c>
      <c r="D14" s="23" t="s">
        <v>108</v>
      </c>
      <c r="E14" s="25">
        <v>3659</v>
      </c>
      <c r="F14" s="23" t="s">
        <v>99</v>
      </c>
      <c r="G14" s="23" t="s">
        <v>102</v>
      </c>
      <c r="H14" s="23">
        <v>31</v>
      </c>
      <c r="I14" s="26">
        <v>88.04</v>
      </c>
    </row>
    <row r="15" spans="2:9" x14ac:dyDescent="0.25">
      <c r="B15" s="24">
        <v>43469</v>
      </c>
      <c r="C15" s="23" t="s">
        <v>95</v>
      </c>
      <c r="D15" s="23" t="s">
        <v>101</v>
      </c>
      <c r="E15" s="25">
        <v>3000</v>
      </c>
      <c r="F15" s="23" t="s">
        <v>109</v>
      </c>
      <c r="G15" s="23" t="s">
        <v>110</v>
      </c>
      <c r="H15" s="23">
        <v>149</v>
      </c>
      <c r="I15" s="26">
        <v>520.01</v>
      </c>
    </row>
    <row r="16" spans="2:9" x14ac:dyDescent="0.25">
      <c r="B16" s="24">
        <v>43469</v>
      </c>
      <c r="C16" s="23" t="s">
        <v>106</v>
      </c>
      <c r="D16" s="23" t="s">
        <v>107</v>
      </c>
      <c r="E16" s="25">
        <v>3062</v>
      </c>
      <c r="F16" s="23" t="s">
        <v>104</v>
      </c>
      <c r="G16" s="23" t="s">
        <v>105</v>
      </c>
      <c r="H16" s="23">
        <v>78</v>
      </c>
      <c r="I16" s="26">
        <v>138.06</v>
      </c>
    </row>
    <row r="17" spans="2:9" x14ac:dyDescent="0.25">
      <c r="B17" s="24">
        <v>43472</v>
      </c>
      <c r="C17" s="23" t="s">
        <v>95</v>
      </c>
      <c r="D17" s="23" t="s">
        <v>103</v>
      </c>
      <c r="E17" s="25">
        <v>3082</v>
      </c>
      <c r="F17" s="23" t="s">
        <v>99</v>
      </c>
      <c r="G17" s="23" t="s">
        <v>102</v>
      </c>
      <c r="H17" s="23">
        <v>135</v>
      </c>
      <c r="I17" s="26">
        <v>383.4</v>
      </c>
    </row>
    <row r="18" spans="2:9" x14ac:dyDescent="0.25">
      <c r="B18" s="24">
        <v>43472</v>
      </c>
      <c r="C18" s="23" t="s">
        <v>95</v>
      </c>
      <c r="D18" s="23" t="s">
        <v>101</v>
      </c>
      <c r="E18" s="25">
        <v>3000</v>
      </c>
      <c r="F18" s="23" t="s">
        <v>97</v>
      </c>
      <c r="G18" s="23" t="s">
        <v>111</v>
      </c>
      <c r="H18" s="23">
        <v>20</v>
      </c>
      <c r="I18" s="26">
        <v>63</v>
      </c>
    </row>
    <row r="19" spans="2:9" x14ac:dyDescent="0.25">
      <c r="B19" s="24">
        <v>43473</v>
      </c>
      <c r="C19" s="23" t="s">
        <v>95</v>
      </c>
      <c r="D19" s="23" t="s">
        <v>96</v>
      </c>
      <c r="E19" s="25">
        <v>3090</v>
      </c>
      <c r="F19" s="23" t="s">
        <v>97</v>
      </c>
      <c r="G19" s="23" t="s">
        <v>98</v>
      </c>
      <c r="H19" s="23">
        <v>28</v>
      </c>
      <c r="I19" s="26">
        <v>37.630000000000003</v>
      </c>
    </row>
    <row r="20" spans="2:9" x14ac:dyDescent="0.25">
      <c r="B20" s="24">
        <v>43473</v>
      </c>
      <c r="C20" s="23" t="s">
        <v>95</v>
      </c>
      <c r="D20" s="23" t="s">
        <v>96</v>
      </c>
      <c r="E20" s="25">
        <v>3036</v>
      </c>
      <c r="F20" s="23" t="s">
        <v>99</v>
      </c>
      <c r="G20" s="23" t="s">
        <v>112</v>
      </c>
      <c r="H20" s="23">
        <v>25</v>
      </c>
      <c r="I20" s="26">
        <v>54.5</v>
      </c>
    </row>
    <row r="21" spans="2:9" x14ac:dyDescent="0.25">
      <c r="B21" s="24">
        <v>43474</v>
      </c>
      <c r="C21" s="23" t="s">
        <v>95</v>
      </c>
      <c r="D21" s="23" t="s">
        <v>101</v>
      </c>
      <c r="E21" s="25">
        <v>3000</v>
      </c>
      <c r="F21" s="23" t="s">
        <v>99</v>
      </c>
      <c r="G21" s="23" t="s">
        <v>102</v>
      </c>
      <c r="H21" s="23">
        <v>219</v>
      </c>
      <c r="I21" s="26">
        <v>621.96</v>
      </c>
    </row>
    <row r="22" spans="2:9" x14ac:dyDescent="0.25">
      <c r="B22" s="24">
        <v>43474</v>
      </c>
      <c r="C22" s="23" t="s">
        <v>95</v>
      </c>
      <c r="D22" s="23" t="s">
        <v>96</v>
      </c>
      <c r="E22" s="25">
        <v>3036</v>
      </c>
      <c r="F22" s="23" t="s">
        <v>104</v>
      </c>
      <c r="G22" s="23" t="s">
        <v>105</v>
      </c>
      <c r="H22" s="23">
        <v>21</v>
      </c>
      <c r="I22" s="26">
        <v>37.17</v>
      </c>
    </row>
    <row r="23" spans="2:9" x14ac:dyDescent="0.25">
      <c r="B23" s="24">
        <v>43475</v>
      </c>
      <c r="C23" s="23" t="s">
        <v>95</v>
      </c>
      <c r="D23" s="23" t="s">
        <v>101</v>
      </c>
      <c r="E23" s="25">
        <v>3000</v>
      </c>
      <c r="F23" s="23" t="s">
        <v>104</v>
      </c>
      <c r="G23" s="23" t="s">
        <v>113</v>
      </c>
      <c r="H23" s="23">
        <v>83</v>
      </c>
      <c r="I23" s="26">
        <v>155.21</v>
      </c>
    </row>
    <row r="24" spans="2:9" x14ac:dyDescent="0.25">
      <c r="B24" s="24">
        <v>43475</v>
      </c>
      <c r="C24" s="23" t="s">
        <v>95</v>
      </c>
      <c r="D24" s="23" t="s">
        <v>101</v>
      </c>
      <c r="E24" s="25">
        <v>3000</v>
      </c>
      <c r="F24" s="23" t="s">
        <v>99</v>
      </c>
      <c r="G24" s="23" t="s">
        <v>102</v>
      </c>
      <c r="H24" s="23">
        <v>122</v>
      </c>
      <c r="I24" s="26">
        <v>346.48</v>
      </c>
    </row>
    <row r="25" spans="2:9" x14ac:dyDescent="0.25">
      <c r="B25" s="24">
        <v>43476</v>
      </c>
      <c r="C25" s="23" t="s">
        <v>95</v>
      </c>
      <c r="D25" s="23" t="s">
        <v>96</v>
      </c>
      <c r="E25" s="25">
        <v>3090</v>
      </c>
      <c r="F25" s="23" t="s">
        <v>104</v>
      </c>
      <c r="G25" s="23" t="s">
        <v>113</v>
      </c>
      <c r="H25" s="23">
        <v>51</v>
      </c>
      <c r="I25" s="26">
        <v>95.37</v>
      </c>
    </row>
    <row r="26" spans="2:9" x14ac:dyDescent="0.25">
      <c r="B26" s="24">
        <v>43476</v>
      </c>
      <c r="C26" s="23" t="s">
        <v>95</v>
      </c>
      <c r="D26" s="23" t="s">
        <v>96</v>
      </c>
      <c r="E26" s="25">
        <v>3090</v>
      </c>
      <c r="F26" s="23" t="s">
        <v>99</v>
      </c>
      <c r="G26" s="23" t="s">
        <v>100</v>
      </c>
      <c r="H26" s="23">
        <v>39</v>
      </c>
      <c r="I26" s="26">
        <v>72.930000000000007</v>
      </c>
    </row>
    <row r="27" spans="2:9" x14ac:dyDescent="0.25">
      <c r="B27" s="24">
        <v>43479</v>
      </c>
      <c r="C27" s="23" t="s">
        <v>95</v>
      </c>
      <c r="D27" s="23" t="s">
        <v>96</v>
      </c>
      <c r="E27" s="25">
        <v>3090</v>
      </c>
      <c r="F27" s="23" t="s">
        <v>99</v>
      </c>
      <c r="G27" s="23" t="s">
        <v>100</v>
      </c>
      <c r="H27" s="23">
        <v>129</v>
      </c>
      <c r="I27" s="26">
        <v>241.23</v>
      </c>
    </row>
    <row r="28" spans="2:9" x14ac:dyDescent="0.25">
      <c r="B28" s="24">
        <v>43479</v>
      </c>
      <c r="C28" s="23" t="s">
        <v>106</v>
      </c>
      <c r="D28" s="23" t="s">
        <v>107</v>
      </c>
      <c r="E28" s="25">
        <v>3062</v>
      </c>
      <c r="F28" s="23" t="s">
        <v>104</v>
      </c>
      <c r="G28" s="23" t="s">
        <v>105</v>
      </c>
      <c r="H28" s="23">
        <v>66</v>
      </c>
      <c r="I28" s="26">
        <v>116.82</v>
      </c>
    </row>
    <row r="29" spans="2:9" x14ac:dyDescent="0.25">
      <c r="B29" s="24">
        <v>43480</v>
      </c>
      <c r="C29" s="23" t="s">
        <v>106</v>
      </c>
      <c r="D29" s="23" t="s">
        <v>108</v>
      </c>
      <c r="E29" s="25">
        <v>3659</v>
      </c>
      <c r="F29" s="23" t="s">
        <v>109</v>
      </c>
      <c r="G29" s="23" t="s">
        <v>110</v>
      </c>
      <c r="H29" s="23">
        <v>25</v>
      </c>
      <c r="I29" s="26">
        <v>87.25</v>
      </c>
    </row>
    <row r="30" spans="2:9" x14ac:dyDescent="0.25">
      <c r="B30" s="24">
        <v>43480</v>
      </c>
      <c r="C30" s="23" t="s">
        <v>95</v>
      </c>
      <c r="D30" s="23" t="s">
        <v>103</v>
      </c>
      <c r="E30" s="25">
        <v>3082</v>
      </c>
      <c r="F30" s="23" t="s">
        <v>99</v>
      </c>
      <c r="G30" s="23" t="s">
        <v>102</v>
      </c>
      <c r="H30" s="23">
        <v>37</v>
      </c>
      <c r="I30" s="26">
        <v>105.08</v>
      </c>
    </row>
    <row r="31" spans="2:9" x14ac:dyDescent="0.25">
      <c r="B31" s="24">
        <v>43481</v>
      </c>
      <c r="C31" s="23" t="s">
        <v>106</v>
      </c>
      <c r="D31" s="23" t="s">
        <v>107</v>
      </c>
      <c r="E31" s="25">
        <v>3062</v>
      </c>
      <c r="F31" s="23" t="s">
        <v>99</v>
      </c>
      <c r="G31" s="23" t="s">
        <v>100</v>
      </c>
      <c r="H31" s="23">
        <v>82</v>
      </c>
      <c r="I31" s="26">
        <v>153.34</v>
      </c>
    </row>
    <row r="32" spans="2:9" x14ac:dyDescent="0.25">
      <c r="B32" s="24">
        <v>43481</v>
      </c>
      <c r="C32" s="23" t="s">
        <v>95</v>
      </c>
      <c r="D32" s="23" t="s">
        <v>101</v>
      </c>
      <c r="E32" s="25">
        <v>3000</v>
      </c>
      <c r="F32" s="23" t="s">
        <v>104</v>
      </c>
      <c r="G32" s="23" t="s">
        <v>10</v>
      </c>
      <c r="H32" s="23">
        <v>23</v>
      </c>
      <c r="I32" s="26">
        <v>52.21</v>
      </c>
    </row>
    <row r="33" spans="2:9" x14ac:dyDescent="0.25">
      <c r="B33" s="24">
        <v>43482</v>
      </c>
      <c r="C33" s="23" t="s">
        <v>106</v>
      </c>
      <c r="D33" s="23" t="s">
        <v>107</v>
      </c>
      <c r="E33" s="25">
        <v>3062</v>
      </c>
      <c r="F33" s="23" t="s">
        <v>104</v>
      </c>
      <c r="G33" s="23" t="s">
        <v>105</v>
      </c>
      <c r="H33" s="23">
        <v>44</v>
      </c>
      <c r="I33" s="26">
        <v>77.88</v>
      </c>
    </row>
    <row r="34" spans="2:9" x14ac:dyDescent="0.25">
      <c r="B34" s="24">
        <v>43482</v>
      </c>
      <c r="C34" s="23" t="s">
        <v>95</v>
      </c>
      <c r="D34" s="23" t="s">
        <v>96</v>
      </c>
      <c r="E34" s="25">
        <v>3036</v>
      </c>
      <c r="F34" s="23" t="s">
        <v>99</v>
      </c>
      <c r="G34" s="23" t="s">
        <v>102</v>
      </c>
      <c r="H34" s="23">
        <v>31</v>
      </c>
      <c r="I34" s="26">
        <v>88.04</v>
      </c>
    </row>
    <row r="35" spans="2:9" x14ac:dyDescent="0.25">
      <c r="B35" s="24">
        <v>43483</v>
      </c>
      <c r="C35" s="23" t="s">
        <v>95</v>
      </c>
      <c r="D35" s="23" t="s">
        <v>103</v>
      </c>
      <c r="E35" s="25">
        <v>3082</v>
      </c>
      <c r="F35" s="23" t="s">
        <v>99</v>
      </c>
      <c r="G35" s="23" t="s">
        <v>102</v>
      </c>
      <c r="H35" s="23">
        <v>158</v>
      </c>
      <c r="I35" s="26">
        <v>448.72</v>
      </c>
    </row>
    <row r="36" spans="2:9" x14ac:dyDescent="0.25">
      <c r="B36" s="24">
        <v>43483</v>
      </c>
      <c r="C36" s="23" t="s">
        <v>95</v>
      </c>
      <c r="D36" s="23" t="s">
        <v>96</v>
      </c>
      <c r="E36" s="25">
        <v>3090</v>
      </c>
      <c r="F36" s="23" t="s">
        <v>99</v>
      </c>
      <c r="G36" s="23" t="s">
        <v>100</v>
      </c>
      <c r="H36" s="23">
        <v>33</v>
      </c>
      <c r="I36" s="26">
        <v>61.71</v>
      </c>
    </row>
    <row r="37" spans="2:9" x14ac:dyDescent="0.25">
      <c r="B37" s="24">
        <v>43486</v>
      </c>
      <c r="C37" s="23" t="s">
        <v>95</v>
      </c>
      <c r="D37" s="23" t="s">
        <v>96</v>
      </c>
      <c r="E37" s="25">
        <v>3090</v>
      </c>
      <c r="F37" s="23" t="s">
        <v>97</v>
      </c>
      <c r="G37" s="23" t="s">
        <v>98</v>
      </c>
      <c r="H37" s="23">
        <v>27</v>
      </c>
      <c r="I37" s="26">
        <v>36.29</v>
      </c>
    </row>
    <row r="38" spans="2:9" x14ac:dyDescent="0.25">
      <c r="B38" s="24">
        <v>43486</v>
      </c>
      <c r="C38" s="23" t="s">
        <v>95</v>
      </c>
      <c r="D38" s="23" t="s">
        <v>96</v>
      </c>
      <c r="E38" s="25">
        <v>3090</v>
      </c>
      <c r="F38" s="23" t="s">
        <v>99</v>
      </c>
      <c r="G38" s="23" t="s">
        <v>102</v>
      </c>
      <c r="H38" s="23">
        <v>43</v>
      </c>
      <c r="I38" s="26">
        <v>122.12</v>
      </c>
    </row>
    <row r="39" spans="2:9" x14ac:dyDescent="0.25">
      <c r="B39" s="24">
        <v>43487</v>
      </c>
      <c r="C39" s="23" t="s">
        <v>95</v>
      </c>
      <c r="D39" s="23" t="s">
        <v>96</v>
      </c>
      <c r="E39" s="25">
        <v>3090</v>
      </c>
      <c r="F39" s="23" t="s">
        <v>99</v>
      </c>
      <c r="G39" s="23" t="s">
        <v>100</v>
      </c>
      <c r="H39" s="23">
        <v>102</v>
      </c>
      <c r="I39" s="26">
        <v>190.74</v>
      </c>
    </row>
    <row r="40" spans="2:9" x14ac:dyDescent="0.25">
      <c r="B40" s="24">
        <v>43487</v>
      </c>
      <c r="C40" s="23" t="s">
        <v>106</v>
      </c>
      <c r="D40" s="23" t="s">
        <v>108</v>
      </c>
      <c r="E40" s="25">
        <v>3659</v>
      </c>
      <c r="F40" s="23" t="s">
        <v>99</v>
      </c>
      <c r="G40" s="23" t="s">
        <v>102</v>
      </c>
      <c r="H40" s="23">
        <v>34</v>
      </c>
      <c r="I40" s="26">
        <v>96.56</v>
      </c>
    </row>
    <row r="41" spans="2:9" x14ac:dyDescent="0.25">
      <c r="B41" s="24">
        <v>43488</v>
      </c>
      <c r="C41" s="23" t="s">
        <v>95</v>
      </c>
      <c r="D41" s="23" t="s">
        <v>101</v>
      </c>
      <c r="E41" s="25">
        <v>3000</v>
      </c>
      <c r="F41" s="23" t="s">
        <v>104</v>
      </c>
      <c r="G41" s="23" t="s">
        <v>105</v>
      </c>
      <c r="H41" s="23">
        <v>28</v>
      </c>
      <c r="I41" s="26">
        <v>49.56</v>
      </c>
    </row>
    <row r="42" spans="2:9" x14ac:dyDescent="0.25">
      <c r="B42" s="24">
        <v>43488</v>
      </c>
      <c r="C42" s="23" t="s">
        <v>95</v>
      </c>
      <c r="D42" s="23" t="s">
        <v>103</v>
      </c>
      <c r="E42" s="25">
        <v>3082</v>
      </c>
      <c r="F42" s="23" t="s">
        <v>109</v>
      </c>
      <c r="G42" s="23" t="s">
        <v>114</v>
      </c>
      <c r="H42" s="23">
        <v>47</v>
      </c>
      <c r="I42" s="26">
        <v>102.93</v>
      </c>
    </row>
    <row r="43" spans="2:9" x14ac:dyDescent="0.25">
      <c r="B43" s="24">
        <v>43489</v>
      </c>
      <c r="C43" s="23" t="s">
        <v>95</v>
      </c>
      <c r="D43" s="23" t="s">
        <v>103</v>
      </c>
      <c r="E43" s="25">
        <v>3082</v>
      </c>
      <c r="F43" s="23" t="s">
        <v>104</v>
      </c>
      <c r="G43" s="23" t="s">
        <v>105</v>
      </c>
      <c r="H43" s="23">
        <v>74</v>
      </c>
      <c r="I43" s="26">
        <v>130.97999999999999</v>
      </c>
    </row>
    <row r="44" spans="2:9" x14ac:dyDescent="0.25">
      <c r="B44" s="24">
        <v>43489</v>
      </c>
      <c r="C44" s="23" t="s">
        <v>106</v>
      </c>
      <c r="D44" s="23" t="s">
        <v>108</v>
      </c>
      <c r="E44" s="25">
        <v>3659</v>
      </c>
      <c r="F44" s="23" t="s">
        <v>109</v>
      </c>
      <c r="G44" s="23" t="s">
        <v>114</v>
      </c>
      <c r="H44" s="23">
        <v>102</v>
      </c>
      <c r="I44" s="26">
        <v>223.38</v>
      </c>
    </row>
    <row r="45" spans="2:9" x14ac:dyDescent="0.25">
      <c r="B45" s="24">
        <v>43490</v>
      </c>
      <c r="C45" s="23" t="s">
        <v>95</v>
      </c>
      <c r="D45" s="23" t="s">
        <v>96</v>
      </c>
      <c r="E45" s="25">
        <v>3090</v>
      </c>
      <c r="F45" s="23" t="s">
        <v>104</v>
      </c>
      <c r="G45" s="23" t="s">
        <v>113</v>
      </c>
      <c r="H45" s="23">
        <v>53</v>
      </c>
      <c r="I45" s="26">
        <v>99.11</v>
      </c>
    </row>
    <row r="46" spans="2:9" x14ac:dyDescent="0.25">
      <c r="B46" s="24">
        <v>43490</v>
      </c>
      <c r="C46" s="23" t="s">
        <v>95</v>
      </c>
      <c r="D46" s="23" t="s">
        <v>96</v>
      </c>
      <c r="E46" s="25">
        <v>3036</v>
      </c>
      <c r="F46" s="23" t="s">
        <v>99</v>
      </c>
      <c r="G46" s="23" t="s">
        <v>112</v>
      </c>
      <c r="H46" s="23">
        <v>27</v>
      </c>
      <c r="I46" s="26">
        <v>58.86</v>
      </c>
    </row>
    <row r="47" spans="2:9" x14ac:dyDescent="0.25">
      <c r="B47" s="24">
        <v>43493</v>
      </c>
      <c r="C47" s="23" t="s">
        <v>95</v>
      </c>
      <c r="D47" s="23" t="s">
        <v>103</v>
      </c>
      <c r="E47" s="25">
        <v>3082</v>
      </c>
      <c r="F47" s="23" t="s">
        <v>104</v>
      </c>
      <c r="G47" s="23" t="s">
        <v>105</v>
      </c>
      <c r="H47" s="23">
        <v>88</v>
      </c>
      <c r="I47" s="26">
        <v>155.76</v>
      </c>
    </row>
    <row r="48" spans="2:9" x14ac:dyDescent="0.25">
      <c r="B48" s="24">
        <v>43493</v>
      </c>
      <c r="C48" s="23" t="s">
        <v>95</v>
      </c>
      <c r="D48" s="23" t="s">
        <v>96</v>
      </c>
      <c r="E48" s="25">
        <v>3036</v>
      </c>
      <c r="F48" s="23" t="s">
        <v>99</v>
      </c>
      <c r="G48" s="23" t="s">
        <v>102</v>
      </c>
      <c r="H48" s="23">
        <v>33</v>
      </c>
      <c r="I48" s="26">
        <v>93.72</v>
      </c>
    </row>
    <row r="49" spans="2:9" x14ac:dyDescent="0.25">
      <c r="B49" s="24">
        <v>43494</v>
      </c>
      <c r="C49" s="23" t="s">
        <v>106</v>
      </c>
      <c r="D49" s="23" t="s">
        <v>107</v>
      </c>
      <c r="E49" s="25">
        <v>3062</v>
      </c>
      <c r="F49" s="23" t="s">
        <v>97</v>
      </c>
      <c r="G49" s="23" t="s">
        <v>98</v>
      </c>
      <c r="H49" s="23">
        <v>34</v>
      </c>
      <c r="I49" s="26">
        <v>45.7</v>
      </c>
    </row>
    <row r="50" spans="2:9" x14ac:dyDescent="0.25">
      <c r="B50" s="24">
        <v>43494</v>
      </c>
      <c r="C50" s="23" t="s">
        <v>95</v>
      </c>
      <c r="D50" s="23" t="s">
        <v>96</v>
      </c>
      <c r="E50" s="25">
        <v>3036</v>
      </c>
      <c r="F50" s="23" t="s">
        <v>104</v>
      </c>
      <c r="G50" s="23" t="s">
        <v>10</v>
      </c>
      <c r="H50" s="23">
        <v>38</v>
      </c>
      <c r="I50" s="26">
        <v>86.26</v>
      </c>
    </row>
    <row r="51" spans="2:9" x14ac:dyDescent="0.25">
      <c r="B51" s="24">
        <v>43495</v>
      </c>
      <c r="C51" s="23" t="s">
        <v>95</v>
      </c>
      <c r="D51" s="23" t="s">
        <v>103</v>
      </c>
      <c r="E51" s="25">
        <v>3082</v>
      </c>
      <c r="F51" s="23" t="s">
        <v>104</v>
      </c>
      <c r="G51" s="23" t="s">
        <v>105</v>
      </c>
      <c r="H51" s="23">
        <v>49</v>
      </c>
      <c r="I51" s="26">
        <v>86.73</v>
      </c>
    </row>
    <row r="52" spans="2:9" x14ac:dyDescent="0.25">
      <c r="B52" s="24">
        <v>43495</v>
      </c>
      <c r="C52" s="23" t="s">
        <v>95</v>
      </c>
      <c r="D52" s="23" t="s">
        <v>96</v>
      </c>
      <c r="E52" s="25">
        <v>3036</v>
      </c>
      <c r="F52" s="23" t="s">
        <v>99</v>
      </c>
      <c r="G52" s="23" t="s">
        <v>112</v>
      </c>
      <c r="H52" s="23">
        <v>37</v>
      </c>
      <c r="I52" s="26">
        <v>80.66</v>
      </c>
    </row>
    <row r="53" spans="2:9" x14ac:dyDescent="0.25">
      <c r="B53" s="24">
        <v>43496</v>
      </c>
      <c r="C53" s="23" t="s">
        <v>95</v>
      </c>
      <c r="D53" s="23" t="s">
        <v>101</v>
      </c>
      <c r="E53" s="25">
        <v>3000</v>
      </c>
      <c r="F53" s="23" t="s">
        <v>104</v>
      </c>
      <c r="G53" s="23" t="s">
        <v>105</v>
      </c>
      <c r="H53" s="23">
        <v>52</v>
      </c>
      <c r="I53" s="26">
        <v>92.04</v>
      </c>
    </row>
    <row r="54" spans="2:9" x14ac:dyDescent="0.25">
      <c r="B54" s="24">
        <v>43496</v>
      </c>
      <c r="C54" s="23" t="s">
        <v>95</v>
      </c>
      <c r="D54" s="23" t="s">
        <v>96</v>
      </c>
      <c r="E54" s="25">
        <v>3090</v>
      </c>
      <c r="F54" s="23" t="s">
        <v>104</v>
      </c>
      <c r="G54" s="23" t="s">
        <v>113</v>
      </c>
      <c r="H54" s="23">
        <v>35</v>
      </c>
      <c r="I54" s="26">
        <v>65.45</v>
      </c>
    </row>
    <row r="55" spans="2:9" x14ac:dyDescent="0.25">
      <c r="B55" s="24">
        <v>43497</v>
      </c>
      <c r="C55" s="23" t="s">
        <v>95</v>
      </c>
      <c r="D55" s="23" t="s">
        <v>101</v>
      </c>
      <c r="E55" s="25">
        <v>3000</v>
      </c>
      <c r="F55" s="23" t="s">
        <v>99</v>
      </c>
      <c r="G55" s="23" t="s">
        <v>112</v>
      </c>
      <c r="H55" s="23">
        <v>43</v>
      </c>
      <c r="I55" s="26">
        <v>93.74</v>
      </c>
    </row>
    <row r="56" spans="2:9" x14ac:dyDescent="0.25">
      <c r="B56" s="24">
        <v>43497</v>
      </c>
      <c r="C56" s="23" t="s">
        <v>95</v>
      </c>
      <c r="D56" s="23" t="s">
        <v>103</v>
      </c>
      <c r="E56" s="25">
        <v>3082</v>
      </c>
      <c r="F56" s="23" t="s">
        <v>99</v>
      </c>
      <c r="G56" s="23" t="s">
        <v>102</v>
      </c>
      <c r="H56" s="23">
        <v>80</v>
      </c>
      <c r="I56" s="26">
        <v>227.2</v>
      </c>
    </row>
    <row r="57" spans="2:9" x14ac:dyDescent="0.25">
      <c r="B57" s="24">
        <v>43500</v>
      </c>
      <c r="C57" s="23" t="s">
        <v>95</v>
      </c>
      <c r="D57" s="23" t="s">
        <v>96</v>
      </c>
      <c r="E57" s="25">
        <v>3090</v>
      </c>
      <c r="F57" s="23" t="s">
        <v>104</v>
      </c>
      <c r="G57" s="23" t="s">
        <v>105</v>
      </c>
      <c r="H57" s="23">
        <v>41</v>
      </c>
      <c r="I57" s="26">
        <v>72.569999999999993</v>
      </c>
    </row>
    <row r="58" spans="2:9" x14ac:dyDescent="0.25">
      <c r="B58" s="24">
        <v>43500</v>
      </c>
      <c r="C58" s="23" t="s">
        <v>95</v>
      </c>
      <c r="D58" s="23" t="s">
        <v>101</v>
      </c>
      <c r="E58" s="25">
        <v>3000</v>
      </c>
      <c r="F58" s="23" t="s">
        <v>97</v>
      </c>
      <c r="G58" s="23" t="s">
        <v>98</v>
      </c>
      <c r="H58" s="23">
        <v>46</v>
      </c>
      <c r="I58" s="26">
        <v>77.28</v>
      </c>
    </row>
    <row r="59" spans="2:9" x14ac:dyDescent="0.25">
      <c r="B59" s="24">
        <v>43501</v>
      </c>
      <c r="C59" s="23" t="s">
        <v>95</v>
      </c>
      <c r="D59" s="23" t="s">
        <v>96</v>
      </c>
      <c r="E59" s="25">
        <v>3090</v>
      </c>
      <c r="F59" s="23" t="s">
        <v>97</v>
      </c>
      <c r="G59" s="23" t="s">
        <v>98</v>
      </c>
      <c r="H59" s="23">
        <v>37</v>
      </c>
      <c r="I59" s="26">
        <v>49.73</v>
      </c>
    </row>
    <row r="60" spans="2:9" x14ac:dyDescent="0.25">
      <c r="B60" s="24">
        <v>43501</v>
      </c>
      <c r="C60" s="23" t="s">
        <v>106</v>
      </c>
      <c r="D60" s="23" t="s">
        <v>108</v>
      </c>
      <c r="E60" s="25">
        <v>3659</v>
      </c>
      <c r="F60" s="23" t="s">
        <v>109</v>
      </c>
      <c r="G60" s="23" t="s">
        <v>114</v>
      </c>
      <c r="H60" s="23">
        <v>127</v>
      </c>
      <c r="I60" s="26">
        <v>278.13</v>
      </c>
    </row>
    <row r="61" spans="2:9" x14ac:dyDescent="0.25">
      <c r="B61" s="24">
        <v>43502</v>
      </c>
      <c r="C61" s="23" t="s">
        <v>95</v>
      </c>
      <c r="D61" s="23" t="s">
        <v>96</v>
      </c>
      <c r="E61" s="25">
        <v>3090</v>
      </c>
      <c r="F61" s="23" t="s">
        <v>104</v>
      </c>
      <c r="G61" s="23" t="s">
        <v>105</v>
      </c>
      <c r="H61" s="23">
        <v>38</v>
      </c>
      <c r="I61" s="26">
        <v>67.260000000000005</v>
      </c>
    </row>
    <row r="62" spans="2:9" x14ac:dyDescent="0.25">
      <c r="B62" s="24">
        <v>43502</v>
      </c>
      <c r="C62" s="23" t="s">
        <v>106</v>
      </c>
      <c r="D62" s="23" t="s">
        <v>107</v>
      </c>
      <c r="E62" s="25">
        <v>3062</v>
      </c>
      <c r="F62" s="23" t="s">
        <v>104</v>
      </c>
      <c r="G62" s="23" t="s">
        <v>105</v>
      </c>
      <c r="H62" s="23">
        <v>58</v>
      </c>
      <c r="I62" s="26">
        <v>102.66</v>
      </c>
    </row>
    <row r="63" spans="2:9" x14ac:dyDescent="0.25">
      <c r="B63" s="24">
        <v>43503</v>
      </c>
      <c r="C63" s="23" t="s">
        <v>106</v>
      </c>
      <c r="D63" s="23" t="s">
        <v>107</v>
      </c>
      <c r="E63" s="25">
        <v>3062</v>
      </c>
      <c r="F63" s="23" t="s">
        <v>104</v>
      </c>
      <c r="G63" s="23" t="s">
        <v>105</v>
      </c>
      <c r="H63" s="23">
        <v>51</v>
      </c>
      <c r="I63" s="26">
        <v>90.27</v>
      </c>
    </row>
    <row r="64" spans="2:9" x14ac:dyDescent="0.25">
      <c r="B64" s="24">
        <v>43503</v>
      </c>
      <c r="C64" s="23" t="s">
        <v>95</v>
      </c>
      <c r="D64" s="23" t="s">
        <v>101</v>
      </c>
      <c r="E64" s="25">
        <v>3000</v>
      </c>
      <c r="F64" s="23" t="s">
        <v>99</v>
      </c>
      <c r="G64" s="23" t="s">
        <v>100</v>
      </c>
      <c r="H64" s="23">
        <v>37</v>
      </c>
      <c r="I64" s="26">
        <v>69.19</v>
      </c>
    </row>
    <row r="65" spans="2:9" x14ac:dyDescent="0.25">
      <c r="B65" s="24">
        <v>43504</v>
      </c>
      <c r="C65" s="23" t="s">
        <v>95</v>
      </c>
      <c r="D65" s="23" t="s">
        <v>101</v>
      </c>
      <c r="E65" s="25">
        <v>3000</v>
      </c>
      <c r="F65" s="23" t="s">
        <v>104</v>
      </c>
      <c r="G65" s="23" t="s">
        <v>105</v>
      </c>
      <c r="H65" s="23">
        <v>53</v>
      </c>
      <c r="I65" s="26">
        <v>93.81</v>
      </c>
    </row>
    <row r="66" spans="2:9" x14ac:dyDescent="0.25">
      <c r="B66" s="24">
        <v>43504</v>
      </c>
      <c r="C66" s="23" t="s">
        <v>95</v>
      </c>
      <c r="D66" s="23" t="s">
        <v>101</v>
      </c>
      <c r="E66" s="25">
        <v>3000</v>
      </c>
      <c r="F66" s="23" t="s">
        <v>104</v>
      </c>
      <c r="G66" s="23" t="s">
        <v>113</v>
      </c>
      <c r="H66" s="23">
        <v>46</v>
      </c>
      <c r="I66" s="26">
        <v>86.02</v>
      </c>
    </row>
    <row r="67" spans="2:9" x14ac:dyDescent="0.25">
      <c r="B67" s="24">
        <v>43507</v>
      </c>
      <c r="C67" s="23" t="s">
        <v>95</v>
      </c>
      <c r="D67" s="23" t="s">
        <v>96</v>
      </c>
      <c r="E67" s="25">
        <v>3036</v>
      </c>
      <c r="F67" s="23" t="s">
        <v>104</v>
      </c>
      <c r="G67" s="23" t="s">
        <v>105</v>
      </c>
      <c r="H67" s="23">
        <v>22</v>
      </c>
      <c r="I67" s="26">
        <v>38.94</v>
      </c>
    </row>
    <row r="68" spans="2:9" x14ac:dyDescent="0.25">
      <c r="B68" s="24">
        <v>43507</v>
      </c>
      <c r="C68" s="23" t="s">
        <v>95</v>
      </c>
      <c r="D68" s="23" t="s">
        <v>96</v>
      </c>
      <c r="E68" s="25">
        <v>3036</v>
      </c>
      <c r="F68" s="23" t="s">
        <v>109</v>
      </c>
      <c r="G68" s="23" t="s">
        <v>114</v>
      </c>
      <c r="H68" s="23">
        <v>24</v>
      </c>
      <c r="I68" s="26">
        <v>52.56</v>
      </c>
    </row>
    <row r="69" spans="2:9" x14ac:dyDescent="0.25">
      <c r="B69" s="24">
        <v>43508</v>
      </c>
      <c r="C69" s="23" t="s">
        <v>95</v>
      </c>
      <c r="D69" s="23" t="s">
        <v>101</v>
      </c>
      <c r="E69" s="25">
        <v>3000</v>
      </c>
      <c r="F69" s="23" t="s">
        <v>99</v>
      </c>
      <c r="G69" s="23" t="s">
        <v>102</v>
      </c>
      <c r="H69" s="23">
        <v>167</v>
      </c>
      <c r="I69" s="26">
        <v>474.28</v>
      </c>
    </row>
    <row r="70" spans="2:9" x14ac:dyDescent="0.25">
      <c r="B70" s="24">
        <v>43508</v>
      </c>
      <c r="C70" s="23" t="s">
        <v>106</v>
      </c>
      <c r="D70" s="23" t="s">
        <v>108</v>
      </c>
      <c r="E70" s="25">
        <v>3659</v>
      </c>
      <c r="F70" s="23" t="s">
        <v>104</v>
      </c>
      <c r="G70" s="23" t="s">
        <v>113</v>
      </c>
      <c r="H70" s="23">
        <v>27</v>
      </c>
      <c r="I70" s="26">
        <v>50.49</v>
      </c>
    </row>
    <row r="71" spans="2:9" x14ac:dyDescent="0.25">
      <c r="B71" s="24">
        <v>43509</v>
      </c>
      <c r="C71" s="23" t="s">
        <v>95</v>
      </c>
      <c r="D71" s="23" t="s">
        <v>101</v>
      </c>
      <c r="E71" s="25">
        <v>3000</v>
      </c>
      <c r="F71" s="23" t="s">
        <v>109</v>
      </c>
      <c r="G71" s="23" t="s">
        <v>110</v>
      </c>
      <c r="H71" s="23">
        <v>40</v>
      </c>
      <c r="I71" s="26">
        <v>139.6</v>
      </c>
    </row>
    <row r="72" spans="2:9" x14ac:dyDescent="0.25">
      <c r="B72" s="24">
        <v>43509</v>
      </c>
      <c r="C72" s="23" t="s">
        <v>106</v>
      </c>
      <c r="D72" s="23" t="s">
        <v>107</v>
      </c>
      <c r="E72" s="25">
        <v>3062</v>
      </c>
      <c r="F72" s="23" t="s">
        <v>99</v>
      </c>
      <c r="G72" s="23" t="s">
        <v>112</v>
      </c>
      <c r="H72" s="23">
        <v>34</v>
      </c>
      <c r="I72" s="26">
        <v>74.12</v>
      </c>
    </row>
    <row r="73" spans="2:9" x14ac:dyDescent="0.25">
      <c r="B73" s="24">
        <v>43510</v>
      </c>
      <c r="C73" s="23" t="s">
        <v>106</v>
      </c>
      <c r="D73" s="23" t="s">
        <v>107</v>
      </c>
      <c r="E73" s="25">
        <v>3062</v>
      </c>
      <c r="F73" s="23" t="s">
        <v>104</v>
      </c>
      <c r="G73" s="23" t="s">
        <v>113</v>
      </c>
      <c r="H73" s="23">
        <v>51</v>
      </c>
      <c r="I73" s="26">
        <v>95.37</v>
      </c>
    </row>
    <row r="74" spans="2:9" x14ac:dyDescent="0.25">
      <c r="B74" s="24">
        <v>43510</v>
      </c>
      <c r="C74" s="23" t="s">
        <v>106</v>
      </c>
      <c r="D74" s="23" t="s">
        <v>107</v>
      </c>
      <c r="E74" s="25">
        <v>3062</v>
      </c>
      <c r="F74" s="23" t="s">
        <v>104</v>
      </c>
      <c r="G74" s="23" t="s">
        <v>10</v>
      </c>
      <c r="H74" s="23">
        <v>26</v>
      </c>
      <c r="I74" s="26">
        <v>59.02</v>
      </c>
    </row>
    <row r="75" spans="2:9" x14ac:dyDescent="0.25">
      <c r="B75" s="24">
        <v>43511</v>
      </c>
      <c r="C75" s="23" t="s">
        <v>106</v>
      </c>
      <c r="D75" s="23" t="s">
        <v>107</v>
      </c>
      <c r="E75" s="25">
        <v>3062</v>
      </c>
      <c r="F75" s="23" t="s">
        <v>97</v>
      </c>
      <c r="G75" s="23" t="s">
        <v>98</v>
      </c>
      <c r="H75" s="23">
        <v>47</v>
      </c>
      <c r="I75" s="26">
        <v>78.959999999999994</v>
      </c>
    </row>
    <row r="76" spans="2:9" x14ac:dyDescent="0.25">
      <c r="B76" s="24">
        <v>43511</v>
      </c>
      <c r="C76" s="23" t="s">
        <v>106</v>
      </c>
      <c r="D76" s="23" t="s">
        <v>107</v>
      </c>
      <c r="E76" s="25">
        <v>3062</v>
      </c>
      <c r="F76" s="23" t="s">
        <v>104</v>
      </c>
      <c r="G76" s="23" t="s">
        <v>105</v>
      </c>
      <c r="H76" s="23">
        <v>72</v>
      </c>
      <c r="I76" s="26">
        <v>127.44</v>
      </c>
    </row>
    <row r="77" spans="2:9" x14ac:dyDescent="0.25">
      <c r="B77" s="24">
        <v>43514</v>
      </c>
      <c r="C77" s="23" t="s">
        <v>95</v>
      </c>
      <c r="D77" s="23" t="s">
        <v>101</v>
      </c>
      <c r="E77" s="25">
        <v>3000</v>
      </c>
      <c r="F77" s="23" t="s">
        <v>97</v>
      </c>
      <c r="G77" s="23" t="s">
        <v>98</v>
      </c>
      <c r="H77" s="23">
        <v>75</v>
      </c>
      <c r="I77" s="26">
        <v>126</v>
      </c>
    </row>
    <row r="78" spans="2:9" x14ac:dyDescent="0.25">
      <c r="B78" s="24">
        <v>43514</v>
      </c>
      <c r="C78" s="23" t="s">
        <v>95</v>
      </c>
      <c r="D78" s="23" t="s">
        <v>103</v>
      </c>
      <c r="E78" s="25">
        <v>3082</v>
      </c>
      <c r="F78" s="23" t="s">
        <v>104</v>
      </c>
      <c r="G78" s="23" t="s">
        <v>105</v>
      </c>
      <c r="H78" s="23">
        <v>106</v>
      </c>
      <c r="I78" s="26">
        <v>187.62</v>
      </c>
    </row>
    <row r="79" spans="2:9" x14ac:dyDescent="0.25">
      <c r="B79" s="24">
        <v>43515</v>
      </c>
      <c r="C79" s="23" t="s">
        <v>106</v>
      </c>
      <c r="D79" s="23" t="s">
        <v>108</v>
      </c>
      <c r="E79" s="25">
        <v>3659</v>
      </c>
      <c r="F79" s="23" t="s">
        <v>104</v>
      </c>
      <c r="G79" s="23" t="s">
        <v>105</v>
      </c>
      <c r="H79" s="23">
        <v>24</v>
      </c>
      <c r="I79" s="26">
        <v>42.48</v>
      </c>
    </row>
    <row r="80" spans="2:9" x14ac:dyDescent="0.25">
      <c r="B80" s="24">
        <v>43515</v>
      </c>
      <c r="C80" s="23" t="s">
        <v>106</v>
      </c>
      <c r="D80" s="23" t="s">
        <v>108</v>
      </c>
      <c r="E80" s="25">
        <v>3659</v>
      </c>
      <c r="F80" s="23" t="s">
        <v>104</v>
      </c>
      <c r="G80" s="23" t="s">
        <v>105</v>
      </c>
      <c r="H80" s="23">
        <v>22</v>
      </c>
      <c r="I80" s="26">
        <v>38.94</v>
      </c>
    </row>
    <row r="81" spans="2:9" x14ac:dyDescent="0.25">
      <c r="B81" s="24">
        <v>43516</v>
      </c>
      <c r="C81" s="23" t="s">
        <v>106</v>
      </c>
      <c r="D81" s="23" t="s">
        <v>107</v>
      </c>
      <c r="E81" s="25">
        <v>3062</v>
      </c>
      <c r="F81" s="23" t="s">
        <v>109</v>
      </c>
      <c r="G81" s="23" t="s">
        <v>114</v>
      </c>
      <c r="H81" s="23">
        <v>21</v>
      </c>
      <c r="I81" s="26">
        <v>45.99</v>
      </c>
    </row>
    <row r="82" spans="2:9" x14ac:dyDescent="0.25">
      <c r="B82" s="24">
        <v>43516</v>
      </c>
      <c r="C82" s="23" t="s">
        <v>95</v>
      </c>
      <c r="D82" s="23" t="s">
        <v>96</v>
      </c>
      <c r="E82" s="25">
        <v>3090</v>
      </c>
      <c r="F82" s="23" t="s">
        <v>99</v>
      </c>
      <c r="G82" s="23" t="s">
        <v>112</v>
      </c>
      <c r="H82" s="23">
        <v>35</v>
      </c>
      <c r="I82" s="26">
        <v>76.3</v>
      </c>
    </row>
    <row r="83" spans="2:9" x14ac:dyDescent="0.25">
      <c r="B83" s="24">
        <v>43517</v>
      </c>
      <c r="C83" s="23" t="s">
        <v>106</v>
      </c>
      <c r="D83" s="23" t="s">
        <v>108</v>
      </c>
      <c r="E83" s="25">
        <v>3659</v>
      </c>
      <c r="F83" s="23" t="s">
        <v>109</v>
      </c>
      <c r="G83" s="23" t="s">
        <v>110</v>
      </c>
      <c r="H83" s="23">
        <v>27</v>
      </c>
      <c r="I83" s="26">
        <v>94.23</v>
      </c>
    </row>
    <row r="84" spans="2:9" x14ac:dyDescent="0.25">
      <c r="B84" s="24">
        <v>43517</v>
      </c>
      <c r="C84" s="23" t="s">
        <v>95</v>
      </c>
      <c r="D84" s="23" t="s">
        <v>103</v>
      </c>
      <c r="E84" s="25">
        <v>3082</v>
      </c>
      <c r="F84" s="23" t="s">
        <v>97</v>
      </c>
      <c r="G84" s="23" t="s">
        <v>98</v>
      </c>
      <c r="H84" s="23">
        <v>34</v>
      </c>
      <c r="I84" s="26">
        <v>57.12</v>
      </c>
    </row>
    <row r="85" spans="2:9" x14ac:dyDescent="0.25">
      <c r="B85" s="24">
        <v>43518</v>
      </c>
      <c r="C85" s="23" t="s">
        <v>106</v>
      </c>
      <c r="D85" s="23" t="s">
        <v>108</v>
      </c>
      <c r="E85" s="25">
        <v>3659</v>
      </c>
      <c r="F85" s="23" t="s">
        <v>99</v>
      </c>
      <c r="G85" s="23" t="s">
        <v>102</v>
      </c>
      <c r="H85" s="23">
        <v>58</v>
      </c>
      <c r="I85" s="26">
        <v>164.72</v>
      </c>
    </row>
    <row r="86" spans="2:9" x14ac:dyDescent="0.25">
      <c r="B86" s="24">
        <v>43518</v>
      </c>
      <c r="C86" s="23" t="s">
        <v>95</v>
      </c>
      <c r="D86" s="23" t="s">
        <v>96</v>
      </c>
      <c r="E86" s="25">
        <v>3036</v>
      </c>
      <c r="F86" s="23" t="s">
        <v>109</v>
      </c>
      <c r="G86" s="23" t="s">
        <v>110</v>
      </c>
      <c r="H86" s="23">
        <v>24</v>
      </c>
      <c r="I86" s="26">
        <v>83.76</v>
      </c>
    </row>
    <row r="87" spans="2:9" x14ac:dyDescent="0.25">
      <c r="B87" s="24">
        <v>43521</v>
      </c>
      <c r="C87" s="23" t="s">
        <v>95</v>
      </c>
      <c r="D87" s="23" t="s">
        <v>101</v>
      </c>
      <c r="E87" s="25">
        <v>3000</v>
      </c>
      <c r="F87" s="23" t="s">
        <v>99</v>
      </c>
      <c r="G87" s="23" t="s">
        <v>112</v>
      </c>
      <c r="H87" s="23">
        <v>32</v>
      </c>
      <c r="I87" s="26">
        <v>69.760000000000005</v>
      </c>
    </row>
    <row r="88" spans="2:9" x14ac:dyDescent="0.25">
      <c r="B88" s="24">
        <v>43521</v>
      </c>
      <c r="C88" s="23" t="s">
        <v>95</v>
      </c>
      <c r="D88" s="23" t="s">
        <v>101</v>
      </c>
      <c r="E88" s="25">
        <v>3000</v>
      </c>
      <c r="F88" s="23" t="s">
        <v>99</v>
      </c>
      <c r="G88" s="23" t="s">
        <v>112</v>
      </c>
      <c r="H88" s="23">
        <v>32</v>
      </c>
      <c r="I88" s="26">
        <v>69.760000000000005</v>
      </c>
    </row>
    <row r="89" spans="2:9" x14ac:dyDescent="0.25">
      <c r="B89" s="24">
        <v>43522</v>
      </c>
      <c r="C89" s="23" t="s">
        <v>95</v>
      </c>
      <c r="D89" s="23" t="s">
        <v>96</v>
      </c>
      <c r="E89" s="25">
        <v>3090</v>
      </c>
      <c r="F89" s="23" t="s">
        <v>104</v>
      </c>
      <c r="G89" s="23" t="s">
        <v>113</v>
      </c>
      <c r="H89" s="23">
        <v>175</v>
      </c>
      <c r="I89" s="26">
        <v>327.25</v>
      </c>
    </row>
    <row r="90" spans="2:9" x14ac:dyDescent="0.25">
      <c r="B90" s="24">
        <v>43522</v>
      </c>
      <c r="C90" s="23" t="s">
        <v>106</v>
      </c>
      <c r="D90" s="23" t="s">
        <v>107</v>
      </c>
      <c r="E90" s="25">
        <v>3062</v>
      </c>
      <c r="F90" s="23" t="s">
        <v>99</v>
      </c>
      <c r="G90" s="23" t="s">
        <v>112</v>
      </c>
      <c r="H90" s="23">
        <v>28</v>
      </c>
      <c r="I90" s="26">
        <v>61.04</v>
      </c>
    </row>
    <row r="91" spans="2:9" x14ac:dyDescent="0.25">
      <c r="B91" s="24">
        <v>43523</v>
      </c>
      <c r="C91" s="23" t="s">
        <v>95</v>
      </c>
      <c r="D91" s="23" t="s">
        <v>101</v>
      </c>
      <c r="E91" s="25">
        <v>3000</v>
      </c>
      <c r="F91" s="23" t="s">
        <v>97</v>
      </c>
      <c r="G91" s="23" t="s">
        <v>98</v>
      </c>
      <c r="H91" s="23">
        <v>142</v>
      </c>
      <c r="I91" s="26">
        <v>238.56</v>
      </c>
    </row>
    <row r="92" spans="2:9" x14ac:dyDescent="0.25">
      <c r="B92" s="24">
        <v>43523</v>
      </c>
      <c r="C92" s="23" t="s">
        <v>106</v>
      </c>
      <c r="D92" s="23" t="s">
        <v>107</v>
      </c>
      <c r="E92" s="25">
        <v>3062</v>
      </c>
      <c r="F92" s="23" t="s">
        <v>109</v>
      </c>
      <c r="G92" s="23" t="s">
        <v>115</v>
      </c>
      <c r="H92" s="23">
        <v>23</v>
      </c>
      <c r="I92" s="26">
        <v>58.140000000000008</v>
      </c>
    </row>
    <row r="93" spans="2:9" x14ac:dyDescent="0.25">
      <c r="B93" s="24">
        <v>43524</v>
      </c>
      <c r="C93" s="23" t="s">
        <v>106</v>
      </c>
      <c r="D93" s="23" t="s">
        <v>107</v>
      </c>
      <c r="E93" s="25">
        <v>3062</v>
      </c>
      <c r="F93" s="23" t="s">
        <v>109</v>
      </c>
      <c r="G93" s="23" t="s">
        <v>110</v>
      </c>
      <c r="H93" s="23">
        <v>69</v>
      </c>
      <c r="I93" s="26">
        <v>240.81</v>
      </c>
    </row>
    <row r="94" spans="2:9" x14ac:dyDescent="0.25">
      <c r="B94" s="24">
        <v>43524</v>
      </c>
      <c r="C94" s="23" t="s">
        <v>95</v>
      </c>
      <c r="D94" s="23" t="s">
        <v>101</v>
      </c>
      <c r="E94" s="25">
        <v>3000</v>
      </c>
      <c r="F94" s="23" t="s">
        <v>104</v>
      </c>
      <c r="G94" s="23" t="s">
        <v>113</v>
      </c>
      <c r="H94" s="23">
        <v>44</v>
      </c>
      <c r="I94" s="26">
        <v>82.28</v>
      </c>
    </row>
    <row r="95" spans="2:9" x14ac:dyDescent="0.25">
      <c r="B95" s="24">
        <v>43525</v>
      </c>
      <c r="C95" s="23" t="s">
        <v>95</v>
      </c>
      <c r="D95" s="23" t="s">
        <v>101</v>
      </c>
      <c r="E95" s="25">
        <v>3000</v>
      </c>
      <c r="F95" s="23" t="s">
        <v>109</v>
      </c>
      <c r="G95" s="23" t="s">
        <v>110</v>
      </c>
      <c r="H95" s="23">
        <v>87</v>
      </c>
      <c r="I95" s="26">
        <v>303.63</v>
      </c>
    </row>
    <row r="96" spans="2:9" x14ac:dyDescent="0.25">
      <c r="B96" s="24">
        <v>43525</v>
      </c>
      <c r="C96" s="23" t="s">
        <v>106</v>
      </c>
      <c r="D96" s="23" t="s">
        <v>107</v>
      </c>
      <c r="E96" s="25">
        <v>3062</v>
      </c>
      <c r="F96" s="23" t="s">
        <v>99</v>
      </c>
      <c r="G96" s="23" t="s">
        <v>112</v>
      </c>
      <c r="H96" s="23">
        <v>49</v>
      </c>
      <c r="I96" s="26">
        <v>106.82</v>
      </c>
    </row>
    <row r="97" spans="2:9" x14ac:dyDescent="0.25">
      <c r="B97" s="24">
        <v>43528</v>
      </c>
      <c r="C97" s="23" t="s">
        <v>106</v>
      </c>
      <c r="D97" s="23" t="s">
        <v>108</v>
      </c>
      <c r="E97" s="25">
        <v>3659</v>
      </c>
      <c r="F97" s="23" t="s">
        <v>104</v>
      </c>
      <c r="G97" s="23" t="s">
        <v>113</v>
      </c>
      <c r="H97" s="23">
        <v>61</v>
      </c>
      <c r="I97" s="26">
        <v>114.07</v>
      </c>
    </row>
    <row r="98" spans="2:9" x14ac:dyDescent="0.25">
      <c r="B98" s="24">
        <v>43528</v>
      </c>
      <c r="C98" s="23" t="s">
        <v>106</v>
      </c>
      <c r="D98" s="23" t="s">
        <v>107</v>
      </c>
      <c r="E98" s="25">
        <v>3062</v>
      </c>
      <c r="F98" s="23" t="s">
        <v>104</v>
      </c>
      <c r="G98" s="23" t="s">
        <v>105</v>
      </c>
      <c r="H98" s="23">
        <v>77</v>
      </c>
      <c r="I98" s="26">
        <v>136.29</v>
      </c>
    </row>
    <row r="99" spans="2:9" x14ac:dyDescent="0.25">
      <c r="B99" s="24">
        <v>43529</v>
      </c>
      <c r="C99" s="23" t="s">
        <v>95</v>
      </c>
      <c r="D99" s="23" t="s">
        <v>101</v>
      </c>
      <c r="E99" s="25">
        <v>3000</v>
      </c>
      <c r="F99" s="23" t="s">
        <v>99</v>
      </c>
      <c r="G99" s="23" t="s">
        <v>112</v>
      </c>
      <c r="H99" s="23">
        <v>39</v>
      </c>
      <c r="I99" s="26">
        <v>85.02</v>
      </c>
    </row>
    <row r="100" spans="2:9" x14ac:dyDescent="0.25">
      <c r="B100" s="24">
        <v>43529</v>
      </c>
      <c r="C100" s="23" t="s">
        <v>95</v>
      </c>
      <c r="D100" s="23" t="s">
        <v>96</v>
      </c>
      <c r="E100" s="25">
        <v>3090</v>
      </c>
      <c r="F100" s="23" t="s">
        <v>109</v>
      </c>
      <c r="G100" s="23" t="s">
        <v>114</v>
      </c>
      <c r="H100" s="23">
        <v>55</v>
      </c>
      <c r="I100" s="26">
        <v>120.45</v>
      </c>
    </row>
    <row r="101" spans="2:9" x14ac:dyDescent="0.25">
      <c r="B101" s="24">
        <v>43530</v>
      </c>
      <c r="C101" s="23" t="s">
        <v>95</v>
      </c>
      <c r="D101" s="23" t="s">
        <v>96</v>
      </c>
      <c r="E101" s="25">
        <v>3090</v>
      </c>
      <c r="F101" s="23" t="s">
        <v>104</v>
      </c>
      <c r="G101" s="23" t="s">
        <v>105</v>
      </c>
      <c r="H101" s="23">
        <v>97</v>
      </c>
      <c r="I101" s="26">
        <v>171.69</v>
      </c>
    </row>
    <row r="102" spans="2:9" x14ac:dyDescent="0.25">
      <c r="B102" s="24">
        <v>43530</v>
      </c>
      <c r="C102" s="23" t="s">
        <v>106</v>
      </c>
      <c r="D102" s="23" t="s">
        <v>108</v>
      </c>
      <c r="E102" s="25">
        <v>3659</v>
      </c>
      <c r="F102" s="23" t="s">
        <v>99</v>
      </c>
      <c r="G102" s="23" t="s">
        <v>112</v>
      </c>
      <c r="H102" s="23">
        <v>25</v>
      </c>
      <c r="I102" s="26">
        <v>54.5</v>
      </c>
    </row>
    <row r="103" spans="2:9" x14ac:dyDescent="0.25">
      <c r="B103" s="24">
        <v>43531</v>
      </c>
      <c r="C103" s="23" t="s">
        <v>95</v>
      </c>
      <c r="D103" s="23" t="s">
        <v>101</v>
      </c>
      <c r="E103" s="25">
        <v>3000</v>
      </c>
      <c r="F103" s="23" t="s">
        <v>99</v>
      </c>
      <c r="G103" s="23" t="s">
        <v>100</v>
      </c>
      <c r="H103" s="23">
        <v>146</v>
      </c>
      <c r="I103" s="26">
        <v>273.02</v>
      </c>
    </row>
    <row r="104" spans="2:9" x14ac:dyDescent="0.25">
      <c r="B104" s="24">
        <v>43531</v>
      </c>
      <c r="C104" s="23" t="s">
        <v>106</v>
      </c>
      <c r="D104" s="23" t="s">
        <v>108</v>
      </c>
      <c r="E104" s="25">
        <v>3659</v>
      </c>
      <c r="F104" s="23" t="s">
        <v>104</v>
      </c>
      <c r="G104" s="23" t="s">
        <v>105</v>
      </c>
      <c r="H104" s="23">
        <v>39</v>
      </c>
      <c r="I104" s="26">
        <v>69.03</v>
      </c>
    </row>
    <row r="105" spans="2:9" x14ac:dyDescent="0.25">
      <c r="B105" s="24">
        <v>43532</v>
      </c>
      <c r="C105" s="23" t="s">
        <v>106</v>
      </c>
      <c r="D105" s="23" t="s">
        <v>107</v>
      </c>
      <c r="E105" s="25">
        <v>3062</v>
      </c>
      <c r="F105" s="23" t="s">
        <v>97</v>
      </c>
      <c r="G105" s="23" t="s">
        <v>98</v>
      </c>
      <c r="H105" s="23">
        <v>23</v>
      </c>
      <c r="I105" s="26">
        <v>38.64</v>
      </c>
    </row>
    <row r="106" spans="2:9" x14ac:dyDescent="0.25">
      <c r="B106" s="24">
        <v>43532</v>
      </c>
      <c r="C106" s="23" t="s">
        <v>95</v>
      </c>
      <c r="D106" s="23" t="s">
        <v>96</v>
      </c>
      <c r="E106" s="25">
        <v>3090</v>
      </c>
      <c r="F106" s="23" t="s">
        <v>109</v>
      </c>
      <c r="G106" s="23" t="s">
        <v>114</v>
      </c>
      <c r="H106" s="23">
        <v>75</v>
      </c>
      <c r="I106" s="26">
        <v>164.25</v>
      </c>
    </row>
    <row r="107" spans="2:9" x14ac:dyDescent="0.25">
      <c r="B107" s="24">
        <v>43535</v>
      </c>
      <c r="C107" s="23" t="s">
        <v>106</v>
      </c>
      <c r="D107" s="23" t="s">
        <v>108</v>
      </c>
      <c r="E107" s="25">
        <v>3659</v>
      </c>
      <c r="F107" s="23" t="s">
        <v>99</v>
      </c>
      <c r="G107" s="23" t="s">
        <v>100</v>
      </c>
      <c r="H107" s="23">
        <v>63</v>
      </c>
      <c r="I107" s="26">
        <v>117.81</v>
      </c>
    </row>
    <row r="108" spans="2:9" x14ac:dyDescent="0.25">
      <c r="B108" s="24">
        <v>43535</v>
      </c>
      <c r="C108" s="23" t="s">
        <v>95</v>
      </c>
      <c r="D108" s="23" t="s">
        <v>96</v>
      </c>
      <c r="E108" s="25">
        <v>3090</v>
      </c>
      <c r="F108" s="23" t="s">
        <v>104</v>
      </c>
      <c r="G108" s="23" t="s">
        <v>113</v>
      </c>
      <c r="H108" s="23">
        <v>39</v>
      </c>
      <c r="I108" s="26">
        <v>72.930000000000007</v>
      </c>
    </row>
    <row r="109" spans="2:9" x14ac:dyDescent="0.25">
      <c r="B109" s="24">
        <v>43536</v>
      </c>
      <c r="C109" s="23" t="s">
        <v>95</v>
      </c>
      <c r="D109" s="23" t="s">
        <v>101</v>
      </c>
      <c r="E109" s="25">
        <v>3000</v>
      </c>
      <c r="F109" s="23" t="s">
        <v>104</v>
      </c>
      <c r="G109" s="23" t="s">
        <v>105</v>
      </c>
      <c r="H109" s="23">
        <v>59</v>
      </c>
      <c r="I109" s="26">
        <v>104.43</v>
      </c>
    </row>
    <row r="110" spans="2:9" x14ac:dyDescent="0.25">
      <c r="B110" s="24">
        <v>43536</v>
      </c>
      <c r="C110" s="23" t="s">
        <v>106</v>
      </c>
      <c r="D110" s="23" t="s">
        <v>107</v>
      </c>
      <c r="E110" s="25">
        <v>3062</v>
      </c>
      <c r="F110" s="23" t="s">
        <v>109</v>
      </c>
      <c r="G110" s="23" t="s">
        <v>110</v>
      </c>
      <c r="H110" s="23">
        <v>24</v>
      </c>
      <c r="I110" s="26">
        <v>83.76</v>
      </c>
    </row>
    <row r="111" spans="2:9" x14ac:dyDescent="0.25">
      <c r="B111" s="24">
        <v>43537</v>
      </c>
      <c r="C111" s="23" t="s">
        <v>95</v>
      </c>
      <c r="D111" s="23" t="s">
        <v>103</v>
      </c>
      <c r="E111" s="25">
        <v>3082</v>
      </c>
      <c r="F111" s="23" t="s">
        <v>104</v>
      </c>
      <c r="G111" s="23" t="s">
        <v>105</v>
      </c>
      <c r="H111" s="23">
        <v>48</v>
      </c>
      <c r="I111" s="26">
        <v>84.96</v>
      </c>
    </row>
    <row r="112" spans="2:9" x14ac:dyDescent="0.25">
      <c r="B112" s="24">
        <v>43537</v>
      </c>
      <c r="C112" s="23" t="s">
        <v>95</v>
      </c>
      <c r="D112" s="23" t="s">
        <v>101</v>
      </c>
      <c r="E112" s="25">
        <v>3000</v>
      </c>
      <c r="F112" s="23" t="s">
        <v>99</v>
      </c>
      <c r="G112" s="23" t="s">
        <v>100</v>
      </c>
      <c r="H112" s="23">
        <v>34</v>
      </c>
      <c r="I112" s="26">
        <v>63.58</v>
      </c>
    </row>
    <row r="113" spans="2:9" x14ac:dyDescent="0.25">
      <c r="B113" s="24">
        <v>43538</v>
      </c>
      <c r="C113" s="23" t="s">
        <v>95</v>
      </c>
      <c r="D113" s="23" t="s">
        <v>96</v>
      </c>
      <c r="E113" s="25">
        <v>3090</v>
      </c>
      <c r="F113" s="23" t="s">
        <v>99</v>
      </c>
      <c r="G113" s="23" t="s">
        <v>102</v>
      </c>
      <c r="H113" s="23">
        <v>67</v>
      </c>
      <c r="I113" s="26">
        <v>190.28</v>
      </c>
    </row>
    <row r="114" spans="2:9" x14ac:dyDescent="0.25">
      <c r="B114" s="24">
        <v>43539</v>
      </c>
      <c r="C114" s="23" t="s">
        <v>106</v>
      </c>
      <c r="D114" s="23" t="s">
        <v>108</v>
      </c>
      <c r="E114" s="25">
        <v>3659</v>
      </c>
      <c r="F114" s="23" t="s">
        <v>99</v>
      </c>
      <c r="G114" s="23" t="s">
        <v>102</v>
      </c>
      <c r="H114" s="23">
        <v>54</v>
      </c>
      <c r="I114" s="26">
        <v>153.36000000000001</v>
      </c>
    </row>
    <row r="115" spans="2:9" x14ac:dyDescent="0.25">
      <c r="B115" s="24">
        <v>43542</v>
      </c>
      <c r="C115" s="23" t="s">
        <v>106</v>
      </c>
      <c r="D115" s="23" t="s">
        <v>108</v>
      </c>
      <c r="E115" s="25">
        <v>3659</v>
      </c>
      <c r="F115" s="23" t="s">
        <v>97</v>
      </c>
      <c r="G115" s="23" t="s">
        <v>98</v>
      </c>
      <c r="H115" s="23">
        <v>62</v>
      </c>
      <c r="I115" s="26">
        <v>104.16</v>
      </c>
    </row>
    <row r="116" spans="2:9" x14ac:dyDescent="0.25">
      <c r="B116" s="24">
        <v>43543</v>
      </c>
      <c r="C116" s="23" t="s">
        <v>95</v>
      </c>
      <c r="D116" s="23" t="s">
        <v>101</v>
      </c>
      <c r="E116" s="25">
        <v>3000</v>
      </c>
      <c r="F116" s="23" t="s">
        <v>97</v>
      </c>
      <c r="G116" s="23" t="s">
        <v>98</v>
      </c>
      <c r="H116" s="23">
        <v>115</v>
      </c>
      <c r="I116" s="26">
        <v>193.2</v>
      </c>
    </row>
    <row r="117" spans="2:9" x14ac:dyDescent="0.25">
      <c r="B117" s="24">
        <v>43544</v>
      </c>
      <c r="C117" s="23" t="s">
        <v>106</v>
      </c>
      <c r="D117" s="23" t="s">
        <v>107</v>
      </c>
      <c r="E117" s="25">
        <v>3062</v>
      </c>
      <c r="F117" s="23" t="s">
        <v>99</v>
      </c>
      <c r="G117" s="23" t="s">
        <v>100</v>
      </c>
      <c r="H117" s="23">
        <v>55</v>
      </c>
      <c r="I117" s="26">
        <v>102.85</v>
      </c>
    </row>
    <row r="118" spans="2:9" x14ac:dyDescent="0.25">
      <c r="B118" s="24">
        <v>43545</v>
      </c>
      <c r="C118" s="23" t="s">
        <v>106</v>
      </c>
      <c r="D118" s="23" t="s">
        <v>107</v>
      </c>
      <c r="E118" s="25">
        <v>3062</v>
      </c>
      <c r="F118" s="23" t="s">
        <v>109</v>
      </c>
      <c r="G118" s="23" t="s">
        <v>110</v>
      </c>
      <c r="H118" s="23">
        <v>21</v>
      </c>
      <c r="I118" s="26">
        <v>73.290000000000006</v>
      </c>
    </row>
    <row r="119" spans="2:9" x14ac:dyDescent="0.25">
      <c r="B119" s="24">
        <v>43546</v>
      </c>
      <c r="C119" s="23" t="s">
        <v>95</v>
      </c>
      <c r="D119" s="23" t="s">
        <v>103</v>
      </c>
      <c r="E119" s="25">
        <v>3082</v>
      </c>
      <c r="F119" s="23" t="s">
        <v>97</v>
      </c>
      <c r="G119" s="23" t="s">
        <v>98</v>
      </c>
      <c r="H119" s="23">
        <v>39</v>
      </c>
      <c r="I119" s="26">
        <v>65.52</v>
      </c>
    </row>
    <row r="120" spans="2:9" x14ac:dyDescent="0.25">
      <c r="B120" s="24">
        <v>43549</v>
      </c>
      <c r="C120" s="23" t="s">
        <v>106</v>
      </c>
      <c r="D120" s="23" t="s">
        <v>108</v>
      </c>
      <c r="E120" s="25">
        <v>3659</v>
      </c>
      <c r="F120" s="23" t="s">
        <v>99</v>
      </c>
      <c r="G120" s="23" t="s">
        <v>102</v>
      </c>
      <c r="H120" s="23">
        <v>45</v>
      </c>
      <c r="I120" s="26">
        <v>127.8</v>
      </c>
    </row>
    <row r="121" spans="2:9" x14ac:dyDescent="0.25">
      <c r="B121" s="24">
        <v>43550</v>
      </c>
      <c r="C121" s="23" t="s">
        <v>95</v>
      </c>
      <c r="D121" s="23" t="s">
        <v>96</v>
      </c>
      <c r="E121" s="25">
        <v>3090</v>
      </c>
      <c r="F121" s="23" t="s">
        <v>99</v>
      </c>
      <c r="G121" s="23" t="s">
        <v>100</v>
      </c>
      <c r="H121" s="23">
        <v>76</v>
      </c>
      <c r="I121" s="26">
        <v>142.12</v>
      </c>
    </row>
    <row r="122" spans="2:9" x14ac:dyDescent="0.25">
      <c r="B122" s="24">
        <v>43551</v>
      </c>
      <c r="C122" s="23" t="s">
        <v>95</v>
      </c>
      <c r="D122" s="23" t="s">
        <v>96</v>
      </c>
      <c r="E122" s="25">
        <v>3090</v>
      </c>
      <c r="F122" s="23" t="s">
        <v>104</v>
      </c>
      <c r="G122" s="23" t="s">
        <v>105</v>
      </c>
      <c r="H122" s="23">
        <v>108</v>
      </c>
      <c r="I122" s="26">
        <v>191.16</v>
      </c>
    </row>
    <row r="123" spans="2:9" x14ac:dyDescent="0.25">
      <c r="B123" s="24">
        <v>43552</v>
      </c>
      <c r="C123" s="23" t="s">
        <v>95</v>
      </c>
      <c r="D123" s="23" t="s">
        <v>101</v>
      </c>
      <c r="E123" s="25">
        <v>3000</v>
      </c>
      <c r="F123" s="23" t="s">
        <v>99</v>
      </c>
      <c r="G123" s="23" t="s">
        <v>112</v>
      </c>
      <c r="H123" s="23">
        <v>27</v>
      </c>
      <c r="I123" s="26">
        <v>58.86</v>
      </c>
    </row>
    <row r="124" spans="2:9" x14ac:dyDescent="0.25">
      <c r="B124" s="24">
        <v>43553</v>
      </c>
      <c r="C124" s="23" t="s">
        <v>95</v>
      </c>
      <c r="D124" s="23" t="s">
        <v>101</v>
      </c>
      <c r="E124" s="25">
        <v>3000</v>
      </c>
      <c r="F124" s="23" t="s">
        <v>97</v>
      </c>
      <c r="G124" s="23" t="s">
        <v>98</v>
      </c>
      <c r="H124" s="23">
        <v>81</v>
      </c>
      <c r="I124" s="26">
        <v>136.08000000000001</v>
      </c>
    </row>
    <row r="125" spans="2:9" x14ac:dyDescent="0.25">
      <c r="B125" s="24">
        <v>43556</v>
      </c>
      <c r="C125" s="23" t="s">
        <v>106</v>
      </c>
      <c r="D125" s="23" t="s">
        <v>108</v>
      </c>
      <c r="E125" s="25">
        <v>3659</v>
      </c>
      <c r="F125" s="23" t="s">
        <v>97</v>
      </c>
      <c r="G125" s="23" t="s">
        <v>98</v>
      </c>
      <c r="H125" s="23">
        <v>36</v>
      </c>
      <c r="I125" s="26">
        <v>60.48</v>
      </c>
    </row>
    <row r="126" spans="2:9" x14ac:dyDescent="0.25">
      <c r="B126" s="24">
        <v>43557</v>
      </c>
      <c r="C126" s="23" t="s">
        <v>106</v>
      </c>
      <c r="D126" s="23" t="s">
        <v>107</v>
      </c>
      <c r="E126" s="25">
        <v>3062</v>
      </c>
      <c r="F126" s="23" t="s">
        <v>104</v>
      </c>
      <c r="G126" s="23" t="s">
        <v>105</v>
      </c>
      <c r="H126" s="23">
        <v>65</v>
      </c>
      <c r="I126" s="26">
        <v>115.05</v>
      </c>
    </row>
    <row r="127" spans="2:9" x14ac:dyDescent="0.25">
      <c r="B127" s="24">
        <v>43558</v>
      </c>
      <c r="C127" s="23" t="s">
        <v>95</v>
      </c>
      <c r="D127" s="23" t="s">
        <v>103</v>
      </c>
      <c r="E127" s="25">
        <v>3082</v>
      </c>
      <c r="F127" s="23" t="s">
        <v>99</v>
      </c>
      <c r="G127" s="23" t="s">
        <v>112</v>
      </c>
      <c r="H127" s="23">
        <v>84</v>
      </c>
      <c r="I127" s="26">
        <v>183.12</v>
      </c>
    </row>
    <row r="128" spans="2:9" x14ac:dyDescent="0.25">
      <c r="B128" s="24">
        <v>43559</v>
      </c>
      <c r="C128" s="23" t="s">
        <v>106</v>
      </c>
      <c r="D128" s="23" t="s">
        <v>108</v>
      </c>
      <c r="E128" s="25">
        <v>3659</v>
      </c>
      <c r="F128" s="23" t="s">
        <v>99</v>
      </c>
      <c r="G128" s="23" t="s">
        <v>100</v>
      </c>
      <c r="H128" s="23">
        <v>40</v>
      </c>
      <c r="I128" s="26">
        <v>74.8</v>
      </c>
    </row>
    <row r="129" spans="2:9" x14ac:dyDescent="0.25">
      <c r="B129" s="24">
        <v>43560</v>
      </c>
      <c r="C129" s="23" t="s">
        <v>106</v>
      </c>
      <c r="D129" s="23" t="s">
        <v>107</v>
      </c>
      <c r="E129" s="25">
        <v>3062</v>
      </c>
      <c r="F129" s="23" t="s">
        <v>104</v>
      </c>
      <c r="G129" s="23" t="s">
        <v>105</v>
      </c>
      <c r="H129" s="23">
        <v>306</v>
      </c>
      <c r="I129" s="26">
        <v>541.62</v>
      </c>
    </row>
    <row r="130" spans="2:9" x14ac:dyDescent="0.25">
      <c r="B130" s="24">
        <v>43563</v>
      </c>
      <c r="C130" s="23" t="s">
        <v>95</v>
      </c>
      <c r="D130" s="23" t="s">
        <v>96</v>
      </c>
      <c r="E130" s="25">
        <v>3090</v>
      </c>
      <c r="F130" s="23" t="s">
        <v>109</v>
      </c>
      <c r="G130" s="23" t="s">
        <v>110</v>
      </c>
      <c r="H130" s="23">
        <v>24</v>
      </c>
      <c r="I130" s="26">
        <v>83.76</v>
      </c>
    </row>
    <row r="131" spans="2:9" x14ac:dyDescent="0.25">
      <c r="B131" s="24">
        <v>43564</v>
      </c>
      <c r="C131" s="23" t="s">
        <v>106</v>
      </c>
      <c r="D131" s="23" t="s">
        <v>108</v>
      </c>
      <c r="E131" s="25">
        <v>3659</v>
      </c>
      <c r="F131" s="23" t="s">
        <v>99</v>
      </c>
      <c r="G131" s="23" t="s">
        <v>102</v>
      </c>
      <c r="H131" s="23">
        <v>41</v>
      </c>
      <c r="I131" s="26">
        <v>116.44</v>
      </c>
    </row>
    <row r="132" spans="2:9" x14ac:dyDescent="0.25">
      <c r="B132" s="24">
        <v>43565</v>
      </c>
      <c r="C132" s="23" t="s">
        <v>95</v>
      </c>
      <c r="D132" s="23" t="s">
        <v>96</v>
      </c>
      <c r="E132" s="25">
        <v>3036</v>
      </c>
      <c r="F132" s="23" t="s">
        <v>99</v>
      </c>
      <c r="G132" s="23" t="s">
        <v>102</v>
      </c>
      <c r="H132" s="23">
        <v>33</v>
      </c>
      <c r="I132" s="26">
        <v>93.72</v>
      </c>
    </row>
    <row r="133" spans="2:9" x14ac:dyDescent="0.25">
      <c r="B133" s="24">
        <v>43566</v>
      </c>
      <c r="C133" s="23" t="s">
        <v>106</v>
      </c>
      <c r="D133" s="23" t="s">
        <v>108</v>
      </c>
      <c r="E133" s="25">
        <v>3659</v>
      </c>
      <c r="F133" s="23" t="s">
        <v>99</v>
      </c>
      <c r="G133" s="23" t="s">
        <v>112</v>
      </c>
      <c r="H133" s="23">
        <v>30</v>
      </c>
      <c r="I133" s="26">
        <v>65.400000000000006</v>
      </c>
    </row>
    <row r="134" spans="2:9" x14ac:dyDescent="0.25">
      <c r="B134" s="24">
        <v>43567</v>
      </c>
      <c r="C134" s="23" t="s">
        <v>95</v>
      </c>
      <c r="D134" s="23" t="s">
        <v>103</v>
      </c>
      <c r="E134" s="25">
        <v>3082</v>
      </c>
      <c r="F134" s="23" t="s">
        <v>99</v>
      </c>
      <c r="G134" s="23" t="s">
        <v>102</v>
      </c>
      <c r="H134" s="23">
        <v>96</v>
      </c>
      <c r="I134" s="26">
        <v>272.64</v>
      </c>
    </row>
    <row r="135" spans="2:9" x14ac:dyDescent="0.25">
      <c r="B135" s="24">
        <v>43570</v>
      </c>
      <c r="C135" s="23" t="s">
        <v>95</v>
      </c>
      <c r="D135" s="23" t="s">
        <v>103</v>
      </c>
      <c r="E135" s="25">
        <v>3082</v>
      </c>
      <c r="F135" s="23" t="s">
        <v>109</v>
      </c>
      <c r="G135" s="23" t="s">
        <v>110</v>
      </c>
      <c r="H135" s="23">
        <v>23</v>
      </c>
      <c r="I135" s="26">
        <v>80.27</v>
      </c>
    </row>
    <row r="136" spans="2:9" x14ac:dyDescent="0.25">
      <c r="B136" s="24">
        <v>43571</v>
      </c>
      <c r="C136" s="23" t="s">
        <v>106</v>
      </c>
      <c r="D136" s="23" t="s">
        <v>107</v>
      </c>
      <c r="E136" s="25">
        <v>3062</v>
      </c>
      <c r="F136" s="23" t="s">
        <v>104</v>
      </c>
      <c r="G136" s="23" t="s">
        <v>105</v>
      </c>
      <c r="H136" s="23">
        <v>340</v>
      </c>
      <c r="I136" s="26">
        <v>601.79999999999995</v>
      </c>
    </row>
    <row r="137" spans="2:9" x14ac:dyDescent="0.25">
      <c r="B137" s="24">
        <v>43572</v>
      </c>
      <c r="C137" s="23" t="s">
        <v>95</v>
      </c>
      <c r="D137" s="23" t="s">
        <v>96</v>
      </c>
      <c r="E137" s="25">
        <v>3090</v>
      </c>
      <c r="F137" s="23" t="s">
        <v>109</v>
      </c>
      <c r="G137" s="23" t="s">
        <v>110</v>
      </c>
      <c r="H137" s="23">
        <v>25</v>
      </c>
      <c r="I137" s="26">
        <v>87.25</v>
      </c>
    </row>
    <row r="138" spans="2:9" x14ac:dyDescent="0.25">
      <c r="B138" s="24">
        <v>43573</v>
      </c>
      <c r="C138" s="23" t="s">
        <v>106</v>
      </c>
      <c r="D138" s="23" t="s">
        <v>107</v>
      </c>
      <c r="E138" s="25">
        <v>3062</v>
      </c>
      <c r="F138" s="23" t="s">
        <v>99</v>
      </c>
      <c r="G138" s="23" t="s">
        <v>100</v>
      </c>
      <c r="H138" s="23">
        <v>75</v>
      </c>
      <c r="I138" s="26">
        <v>140.25</v>
      </c>
    </row>
    <row r="139" spans="2:9" x14ac:dyDescent="0.25">
      <c r="B139" s="24">
        <v>43574</v>
      </c>
      <c r="C139" s="23" t="s">
        <v>106</v>
      </c>
      <c r="D139" s="23" t="s">
        <v>107</v>
      </c>
      <c r="E139" s="25">
        <v>3062</v>
      </c>
      <c r="F139" s="23" t="s">
        <v>99</v>
      </c>
      <c r="G139" s="23" t="s">
        <v>102</v>
      </c>
      <c r="H139" s="23">
        <v>123</v>
      </c>
      <c r="I139" s="26">
        <v>349.32</v>
      </c>
    </row>
    <row r="140" spans="2:9" x14ac:dyDescent="0.25">
      <c r="B140" s="24">
        <v>43577</v>
      </c>
      <c r="C140" s="23" t="s">
        <v>95</v>
      </c>
      <c r="D140" s="23" t="s">
        <v>101</v>
      </c>
      <c r="E140" s="25">
        <v>3000</v>
      </c>
      <c r="F140" s="23" t="s">
        <v>104</v>
      </c>
      <c r="G140" s="23" t="s">
        <v>113</v>
      </c>
      <c r="H140" s="23">
        <v>91</v>
      </c>
      <c r="I140" s="26">
        <v>170.17</v>
      </c>
    </row>
    <row r="141" spans="2:9" x14ac:dyDescent="0.25">
      <c r="B141" s="24">
        <v>43578</v>
      </c>
      <c r="C141" s="23" t="s">
        <v>95</v>
      </c>
      <c r="D141" s="23" t="s">
        <v>96</v>
      </c>
      <c r="E141" s="25">
        <v>3090</v>
      </c>
      <c r="F141" s="23" t="s">
        <v>99</v>
      </c>
      <c r="G141" s="23" t="s">
        <v>102</v>
      </c>
      <c r="H141" s="23">
        <v>56</v>
      </c>
      <c r="I141" s="26">
        <v>159.04</v>
      </c>
    </row>
    <row r="142" spans="2:9" x14ac:dyDescent="0.25">
      <c r="B142" s="24">
        <v>43579</v>
      </c>
      <c r="C142" s="23" t="s">
        <v>95</v>
      </c>
      <c r="D142" s="23" t="s">
        <v>96</v>
      </c>
      <c r="E142" s="25">
        <v>3090</v>
      </c>
      <c r="F142" s="23" t="s">
        <v>109</v>
      </c>
      <c r="G142" s="23" t="s">
        <v>110</v>
      </c>
      <c r="H142" s="23">
        <v>30</v>
      </c>
      <c r="I142" s="26">
        <v>104.7</v>
      </c>
    </row>
    <row r="143" spans="2:9" x14ac:dyDescent="0.25">
      <c r="B143" s="24">
        <v>43580</v>
      </c>
      <c r="C143" s="23" t="s">
        <v>95</v>
      </c>
      <c r="D143" s="23" t="s">
        <v>103</v>
      </c>
      <c r="E143" s="25">
        <v>3082</v>
      </c>
      <c r="F143" s="23" t="s">
        <v>99</v>
      </c>
      <c r="G143" s="23" t="s">
        <v>102</v>
      </c>
      <c r="H143" s="23">
        <v>86</v>
      </c>
      <c r="I143" s="26">
        <v>244.24</v>
      </c>
    </row>
    <row r="144" spans="2:9" x14ac:dyDescent="0.25">
      <c r="B144" s="24">
        <v>43581</v>
      </c>
      <c r="C144" s="23" t="s">
        <v>106</v>
      </c>
      <c r="D144" s="23" t="s">
        <v>108</v>
      </c>
      <c r="E144" s="25">
        <v>3659</v>
      </c>
      <c r="F144" s="23" t="s">
        <v>104</v>
      </c>
      <c r="G144" s="23" t="s">
        <v>113</v>
      </c>
      <c r="H144" s="23">
        <v>43</v>
      </c>
      <c r="I144" s="26">
        <v>80.41</v>
      </c>
    </row>
    <row r="145" spans="2:9" x14ac:dyDescent="0.25">
      <c r="B145" s="24">
        <v>43584</v>
      </c>
      <c r="C145" s="23" t="s">
        <v>95</v>
      </c>
      <c r="D145" s="23" t="s">
        <v>103</v>
      </c>
      <c r="E145" s="25">
        <v>3082</v>
      </c>
      <c r="F145" s="23" t="s">
        <v>104</v>
      </c>
      <c r="G145" s="23" t="s">
        <v>105</v>
      </c>
      <c r="H145" s="23">
        <v>120</v>
      </c>
      <c r="I145" s="26">
        <v>212.4</v>
      </c>
    </row>
    <row r="146" spans="2:9" x14ac:dyDescent="0.25">
      <c r="B146" s="24">
        <v>43585</v>
      </c>
      <c r="C146" s="23" t="s">
        <v>95</v>
      </c>
      <c r="D146" s="23" t="s">
        <v>101</v>
      </c>
      <c r="E146" s="25">
        <v>3000</v>
      </c>
      <c r="F146" s="23" t="s">
        <v>109</v>
      </c>
      <c r="G146" s="23" t="s">
        <v>110</v>
      </c>
      <c r="H146" s="23">
        <v>36</v>
      </c>
      <c r="I146" s="26">
        <v>125.64</v>
      </c>
    </row>
    <row r="147" spans="2:9" x14ac:dyDescent="0.25">
      <c r="B147" s="24">
        <v>43586</v>
      </c>
      <c r="C147" s="23" t="s">
        <v>106</v>
      </c>
      <c r="D147" s="23" t="s">
        <v>107</v>
      </c>
      <c r="E147" s="25">
        <v>3062</v>
      </c>
      <c r="F147" s="23" t="s">
        <v>104</v>
      </c>
      <c r="G147" s="23" t="s">
        <v>105</v>
      </c>
      <c r="H147" s="23">
        <v>150</v>
      </c>
      <c r="I147" s="26">
        <v>265.5</v>
      </c>
    </row>
    <row r="148" spans="2:9" x14ac:dyDescent="0.25">
      <c r="B148" s="24">
        <v>43587</v>
      </c>
      <c r="C148" s="23" t="s">
        <v>95</v>
      </c>
      <c r="D148" s="23" t="s">
        <v>101</v>
      </c>
      <c r="E148" s="25">
        <v>3000</v>
      </c>
      <c r="F148" s="23" t="s">
        <v>104</v>
      </c>
      <c r="G148" s="23" t="s">
        <v>105</v>
      </c>
      <c r="H148" s="23">
        <v>76</v>
      </c>
      <c r="I148" s="26">
        <v>134.52000000000001</v>
      </c>
    </row>
    <row r="149" spans="2:9" x14ac:dyDescent="0.25">
      <c r="B149" s="24">
        <v>43588</v>
      </c>
      <c r="C149" s="23" t="s">
        <v>95</v>
      </c>
      <c r="D149" s="23" t="s">
        <v>103</v>
      </c>
      <c r="E149" s="25">
        <v>3082</v>
      </c>
      <c r="F149" s="23" t="s">
        <v>97</v>
      </c>
      <c r="G149" s="23" t="s">
        <v>98</v>
      </c>
      <c r="H149" s="23">
        <v>30</v>
      </c>
      <c r="I149" s="26">
        <v>50.4</v>
      </c>
    </row>
    <row r="150" spans="2:9" x14ac:dyDescent="0.25">
      <c r="B150" s="24">
        <v>43591</v>
      </c>
      <c r="C150" s="23" t="s">
        <v>95</v>
      </c>
      <c r="D150" s="23" t="s">
        <v>101</v>
      </c>
      <c r="E150" s="25">
        <v>3000</v>
      </c>
      <c r="F150" s="23" t="s">
        <v>99</v>
      </c>
      <c r="G150" s="23" t="s">
        <v>112</v>
      </c>
      <c r="H150" s="23">
        <v>46</v>
      </c>
      <c r="I150" s="26">
        <v>100.28</v>
      </c>
    </row>
    <row r="151" spans="2:9" x14ac:dyDescent="0.25">
      <c r="B151" s="24">
        <v>43592</v>
      </c>
      <c r="C151" s="23" t="s">
        <v>95</v>
      </c>
      <c r="D151" s="23" t="s">
        <v>96</v>
      </c>
      <c r="E151" s="25">
        <v>3090</v>
      </c>
      <c r="F151" s="23" t="s">
        <v>104</v>
      </c>
      <c r="G151" s="23" t="s">
        <v>113</v>
      </c>
      <c r="H151" s="23">
        <v>69</v>
      </c>
      <c r="I151" s="26">
        <v>129.03</v>
      </c>
    </row>
    <row r="152" spans="2:9" x14ac:dyDescent="0.25">
      <c r="B152" s="24">
        <v>43593</v>
      </c>
      <c r="C152" s="23" t="s">
        <v>95</v>
      </c>
      <c r="D152" s="23" t="s">
        <v>101</v>
      </c>
      <c r="E152" s="25">
        <v>3000</v>
      </c>
      <c r="F152" s="23" t="s">
        <v>99</v>
      </c>
      <c r="G152" s="23" t="s">
        <v>100</v>
      </c>
      <c r="H152" s="23">
        <v>95</v>
      </c>
      <c r="I152" s="26">
        <v>177.65</v>
      </c>
    </row>
    <row r="153" spans="2:9" x14ac:dyDescent="0.25">
      <c r="B153" s="24">
        <v>43594</v>
      </c>
      <c r="C153" s="23" t="s">
        <v>95</v>
      </c>
      <c r="D153" s="23" t="s">
        <v>96</v>
      </c>
      <c r="E153" s="25">
        <v>3036</v>
      </c>
      <c r="F153" s="23" t="s">
        <v>109</v>
      </c>
      <c r="G153" s="23" t="s">
        <v>110</v>
      </c>
      <c r="H153" s="23">
        <v>31</v>
      </c>
      <c r="I153" s="26">
        <v>108.19</v>
      </c>
    </row>
    <row r="154" spans="2:9" x14ac:dyDescent="0.25">
      <c r="B154" s="24">
        <v>43595</v>
      </c>
      <c r="C154" s="23" t="s">
        <v>95</v>
      </c>
      <c r="D154" s="23" t="s">
        <v>96</v>
      </c>
      <c r="E154" s="25">
        <v>3090</v>
      </c>
      <c r="F154" s="23" t="s">
        <v>99</v>
      </c>
      <c r="G154" s="23" t="s">
        <v>102</v>
      </c>
      <c r="H154" s="23">
        <v>74</v>
      </c>
      <c r="I154" s="26">
        <v>210.16</v>
      </c>
    </row>
    <row r="155" spans="2:9" x14ac:dyDescent="0.25">
      <c r="B155" s="24">
        <v>43598</v>
      </c>
      <c r="C155" s="23" t="s">
        <v>95</v>
      </c>
      <c r="D155" s="23" t="s">
        <v>96</v>
      </c>
      <c r="E155" s="25">
        <v>3090</v>
      </c>
      <c r="F155" s="23" t="s">
        <v>109</v>
      </c>
      <c r="G155" s="23" t="s">
        <v>110</v>
      </c>
      <c r="H155" s="23">
        <v>26</v>
      </c>
      <c r="I155" s="26">
        <v>90.74</v>
      </c>
    </row>
    <row r="156" spans="2:9" x14ac:dyDescent="0.25">
      <c r="B156" s="24">
        <v>43599</v>
      </c>
      <c r="C156" s="23" t="s">
        <v>95</v>
      </c>
      <c r="D156" s="23" t="s">
        <v>101</v>
      </c>
      <c r="E156" s="25">
        <v>3000</v>
      </c>
      <c r="F156" s="23" t="s">
        <v>104</v>
      </c>
      <c r="G156" s="23" t="s">
        <v>113</v>
      </c>
      <c r="H156" s="23">
        <v>33</v>
      </c>
      <c r="I156" s="26">
        <v>61.71</v>
      </c>
    </row>
    <row r="157" spans="2:9" x14ac:dyDescent="0.25">
      <c r="B157" s="24">
        <v>43600</v>
      </c>
      <c r="C157" s="23" t="s">
        <v>95</v>
      </c>
      <c r="D157" s="23" t="s">
        <v>101</v>
      </c>
      <c r="E157" s="25">
        <v>3000</v>
      </c>
      <c r="F157" s="23" t="s">
        <v>99</v>
      </c>
      <c r="G157" s="23" t="s">
        <v>112</v>
      </c>
      <c r="H157" s="23">
        <v>31</v>
      </c>
      <c r="I157" s="26">
        <v>67.58</v>
      </c>
    </row>
    <row r="158" spans="2:9" x14ac:dyDescent="0.25">
      <c r="B158" s="24">
        <v>43601</v>
      </c>
      <c r="C158" s="23" t="s">
        <v>106</v>
      </c>
      <c r="D158" s="23" t="s">
        <v>107</v>
      </c>
      <c r="E158" s="25">
        <v>3062</v>
      </c>
      <c r="F158" s="23" t="s">
        <v>99</v>
      </c>
      <c r="G158" s="23" t="s">
        <v>100</v>
      </c>
      <c r="H158" s="23">
        <v>80</v>
      </c>
      <c r="I158" s="26">
        <v>149.6</v>
      </c>
    </row>
    <row r="159" spans="2:9" x14ac:dyDescent="0.25">
      <c r="B159" s="24">
        <v>43602</v>
      </c>
      <c r="C159" s="23" t="s">
        <v>95</v>
      </c>
      <c r="D159" s="23" t="s">
        <v>103</v>
      </c>
      <c r="E159" s="25">
        <v>3082</v>
      </c>
      <c r="F159" s="23" t="s">
        <v>97</v>
      </c>
      <c r="G159" s="23" t="s">
        <v>98</v>
      </c>
      <c r="H159" s="23">
        <v>45</v>
      </c>
      <c r="I159" s="26">
        <v>75.599999999999994</v>
      </c>
    </row>
    <row r="160" spans="2:9" x14ac:dyDescent="0.25">
      <c r="B160" s="24">
        <v>43605</v>
      </c>
      <c r="C160" s="23" t="s">
        <v>95</v>
      </c>
      <c r="D160" s="23" t="s">
        <v>103</v>
      </c>
      <c r="E160" s="25">
        <v>3082</v>
      </c>
      <c r="F160" s="23" t="s">
        <v>109</v>
      </c>
      <c r="G160" s="23" t="s">
        <v>110</v>
      </c>
      <c r="H160" s="23">
        <v>22</v>
      </c>
      <c r="I160" s="26">
        <v>76.78</v>
      </c>
    </row>
    <row r="161" spans="2:9" x14ac:dyDescent="0.25">
      <c r="B161" s="24">
        <v>43606</v>
      </c>
      <c r="C161" s="23" t="s">
        <v>95</v>
      </c>
      <c r="D161" s="23" t="s">
        <v>96</v>
      </c>
      <c r="E161" s="25">
        <v>3036</v>
      </c>
      <c r="F161" s="23" t="s">
        <v>104</v>
      </c>
      <c r="G161" s="23" t="s">
        <v>105</v>
      </c>
      <c r="H161" s="23">
        <v>31</v>
      </c>
      <c r="I161" s="26">
        <v>54.87</v>
      </c>
    </row>
    <row r="162" spans="2:9" x14ac:dyDescent="0.25">
      <c r="B162" s="24">
        <v>43607</v>
      </c>
      <c r="C162" s="23" t="s">
        <v>95</v>
      </c>
      <c r="D162" s="23" t="s">
        <v>101</v>
      </c>
      <c r="E162" s="25">
        <v>3000</v>
      </c>
      <c r="F162" s="23" t="s">
        <v>99</v>
      </c>
      <c r="G162" s="23" t="s">
        <v>102</v>
      </c>
      <c r="H162" s="23">
        <v>101</v>
      </c>
      <c r="I162" s="26">
        <v>286.83999999999997</v>
      </c>
    </row>
    <row r="163" spans="2:9" x14ac:dyDescent="0.25">
      <c r="B163" s="24">
        <v>43608</v>
      </c>
      <c r="C163" s="23" t="s">
        <v>106</v>
      </c>
      <c r="D163" s="23" t="s">
        <v>107</v>
      </c>
      <c r="E163" s="25">
        <v>3062</v>
      </c>
      <c r="F163" s="23" t="s">
        <v>104</v>
      </c>
      <c r="G163" s="23" t="s">
        <v>113</v>
      </c>
      <c r="H163" s="23">
        <v>30</v>
      </c>
      <c r="I163" s="26">
        <v>56.1</v>
      </c>
    </row>
    <row r="164" spans="2:9" x14ac:dyDescent="0.25">
      <c r="B164" s="24">
        <v>43609</v>
      </c>
      <c r="C164" s="23" t="s">
        <v>95</v>
      </c>
      <c r="D164" s="23" t="s">
        <v>101</v>
      </c>
      <c r="E164" s="25">
        <v>3000</v>
      </c>
      <c r="F164" s="23" t="s">
        <v>109</v>
      </c>
      <c r="G164" s="23" t="s">
        <v>110</v>
      </c>
      <c r="H164" s="23">
        <v>21</v>
      </c>
      <c r="I164" s="26">
        <v>73.290000000000006</v>
      </c>
    </row>
    <row r="165" spans="2:9" x14ac:dyDescent="0.25">
      <c r="B165" s="24">
        <v>43612</v>
      </c>
      <c r="C165" s="23" t="s">
        <v>95</v>
      </c>
      <c r="D165" s="23" t="s">
        <v>96</v>
      </c>
      <c r="E165" s="25">
        <v>3036</v>
      </c>
      <c r="F165" s="23" t="s">
        <v>99</v>
      </c>
      <c r="G165" s="23" t="s">
        <v>112</v>
      </c>
      <c r="H165" s="23">
        <v>119</v>
      </c>
      <c r="I165" s="26">
        <v>259.42</v>
      </c>
    </row>
    <row r="166" spans="2:9" x14ac:dyDescent="0.25">
      <c r="B166" s="24">
        <v>43613</v>
      </c>
      <c r="C166" s="23" t="s">
        <v>95</v>
      </c>
      <c r="D166" s="23" t="s">
        <v>96</v>
      </c>
      <c r="E166" s="25">
        <v>3036</v>
      </c>
      <c r="F166" s="23" t="s">
        <v>104</v>
      </c>
      <c r="G166" s="23" t="s">
        <v>113</v>
      </c>
      <c r="H166" s="23">
        <v>29</v>
      </c>
      <c r="I166" s="26">
        <v>54.23</v>
      </c>
    </row>
    <row r="167" spans="2:9" x14ac:dyDescent="0.25">
      <c r="B167" s="24">
        <v>43614</v>
      </c>
      <c r="C167" s="23" t="s">
        <v>95</v>
      </c>
      <c r="D167" s="23" t="s">
        <v>101</v>
      </c>
      <c r="E167" s="25">
        <v>3000</v>
      </c>
      <c r="F167" s="23" t="s">
        <v>99</v>
      </c>
      <c r="G167" s="23" t="s">
        <v>100</v>
      </c>
      <c r="H167" s="23">
        <v>77</v>
      </c>
      <c r="I167" s="26">
        <v>143.99</v>
      </c>
    </row>
    <row r="168" spans="2:9" x14ac:dyDescent="0.25">
      <c r="B168" s="24">
        <v>43615</v>
      </c>
      <c r="C168" s="23" t="s">
        <v>95</v>
      </c>
      <c r="D168" s="23" t="s">
        <v>96</v>
      </c>
      <c r="E168" s="25">
        <v>3090</v>
      </c>
      <c r="F168" s="23" t="s">
        <v>104</v>
      </c>
      <c r="G168" s="23" t="s">
        <v>10</v>
      </c>
      <c r="H168" s="23">
        <v>21</v>
      </c>
      <c r="I168" s="26">
        <v>47.67</v>
      </c>
    </row>
    <row r="169" spans="2:9" x14ac:dyDescent="0.25">
      <c r="B169" s="24">
        <v>43616</v>
      </c>
      <c r="C169" s="23" t="s">
        <v>95</v>
      </c>
      <c r="D169" s="23" t="s">
        <v>103</v>
      </c>
      <c r="E169" s="25">
        <v>3082</v>
      </c>
      <c r="F169" s="23" t="s">
        <v>104</v>
      </c>
      <c r="G169" s="23" t="s">
        <v>105</v>
      </c>
      <c r="H169" s="23">
        <v>153</v>
      </c>
      <c r="I169" s="26">
        <v>270.81</v>
      </c>
    </row>
    <row r="170" spans="2:9" x14ac:dyDescent="0.25">
      <c r="B170" s="24">
        <v>43619</v>
      </c>
      <c r="C170" s="23" t="s">
        <v>95</v>
      </c>
      <c r="D170" s="23" t="s">
        <v>96</v>
      </c>
      <c r="E170" s="25">
        <v>3090</v>
      </c>
      <c r="F170" s="23" t="s">
        <v>109</v>
      </c>
      <c r="G170" s="23" t="s">
        <v>110</v>
      </c>
      <c r="H170" s="23">
        <v>23</v>
      </c>
      <c r="I170" s="26">
        <v>80.27</v>
      </c>
    </row>
    <row r="171" spans="2:9" x14ac:dyDescent="0.25">
      <c r="B171" s="24">
        <v>43620</v>
      </c>
      <c r="C171" s="23" t="s">
        <v>95</v>
      </c>
      <c r="D171" s="23" t="s">
        <v>103</v>
      </c>
      <c r="E171" s="25">
        <v>3082</v>
      </c>
      <c r="F171" s="23" t="s">
        <v>97</v>
      </c>
      <c r="G171" s="23" t="s">
        <v>98</v>
      </c>
      <c r="H171" s="23">
        <v>57</v>
      </c>
      <c r="I171" s="26">
        <v>95.76</v>
      </c>
    </row>
    <row r="172" spans="2:9" x14ac:dyDescent="0.25">
      <c r="B172" s="24">
        <v>43621</v>
      </c>
      <c r="C172" s="23" t="s">
        <v>95</v>
      </c>
      <c r="D172" s="23" t="s">
        <v>96</v>
      </c>
      <c r="E172" s="25">
        <v>3090</v>
      </c>
      <c r="F172" s="23" t="s">
        <v>104</v>
      </c>
      <c r="G172" s="23" t="s">
        <v>105</v>
      </c>
      <c r="H172" s="23">
        <v>174</v>
      </c>
      <c r="I172" s="26">
        <v>307.98</v>
      </c>
    </row>
    <row r="173" spans="2:9" x14ac:dyDescent="0.25">
      <c r="B173" s="24">
        <v>43622</v>
      </c>
      <c r="C173" s="23" t="s">
        <v>106</v>
      </c>
      <c r="D173" s="23" t="s">
        <v>107</v>
      </c>
      <c r="E173" s="25">
        <v>3062</v>
      </c>
      <c r="F173" s="23" t="s">
        <v>99</v>
      </c>
      <c r="G173" s="23" t="s">
        <v>112</v>
      </c>
      <c r="H173" s="23">
        <v>375</v>
      </c>
      <c r="I173" s="26">
        <v>817.5</v>
      </c>
    </row>
    <row r="174" spans="2:9" x14ac:dyDescent="0.25">
      <c r="B174" s="24">
        <v>43623</v>
      </c>
      <c r="C174" s="23" t="s">
        <v>95</v>
      </c>
      <c r="D174" s="23" t="s">
        <v>96</v>
      </c>
      <c r="E174" s="25">
        <v>3036</v>
      </c>
      <c r="F174" s="23" t="s">
        <v>99</v>
      </c>
      <c r="G174" s="23" t="s">
        <v>102</v>
      </c>
      <c r="H174" s="23">
        <v>24</v>
      </c>
      <c r="I174" s="26">
        <v>68.16</v>
      </c>
    </row>
    <row r="175" spans="2:9" x14ac:dyDescent="0.25">
      <c r="B175" s="24">
        <v>43626</v>
      </c>
      <c r="C175" s="23" t="s">
        <v>95</v>
      </c>
      <c r="D175" s="23" t="s">
        <v>101</v>
      </c>
      <c r="E175" s="25">
        <v>3000</v>
      </c>
      <c r="F175" s="23" t="s">
        <v>104</v>
      </c>
      <c r="G175" s="23" t="s">
        <v>10</v>
      </c>
      <c r="H175" s="23">
        <v>32</v>
      </c>
      <c r="I175" s="26">
        <v>72.64</v>
      </c>
    </row>
    <row r="176" spans="2:9" x14ac:dyDescent="0.25">
      <c r="B176" s="24">
        <v>43627</v>
      </c>
      <c r="C176" s="23" t="s">
        <v>95</v>
      </c>
      <c r="D176" s="23" t="s">
        <v>101</v>
      </c>
      <c r="E176" s="25">
        <v>3000</v>
      </c>
      <c r="F176" s="23" t="s">
        <v>109</v>
      </c>
      <c r="G176" s="23" t="s">
        <v>110</v>
      </c>
      <c r="H176" s="23">
        <v>53</v>
      </c>
      <c r="I176" s="26">
        <v>184.97</v>
      </c>
    </row>
    <row r="177" spans="2:9" x14ac:dyDescent="0.25">
      <c r="B177" s="24">
        <v>43628</v>
      </c>
      <c r="C177" s="23" t="s">
        <v>95</v>
      </c>
      <c r="D177" s="23" t="s">
        <v>103</v>
      </c>
      <c r="E177" s="25">
        <v>3082</v>
      </c>
      <c r="F177" s="23" t="s">
        <v>109</v>
      </c>
      <c r="G177" s="23" t="s">
        <v>110</v>
      </c>
      <c r="H177" s="23">
        <v>31</v>
      </c>
      <c r="I177" s="26">
        <v>108.19</v>
      </c>
    </row>
    <row r="178" spans="2:9" x14ac:dyDescent="0.25">
      <c r="B178" s="24">
        <v>43629</v>
      </c>
      <c r="C178" s="23" t="s">
        <v>95</v>
      </c>
      <c r="D178" s="23" t="s">
        <v>101</v>
      </c>
      <c r="E178" s="25">
        <v>3000</v>
      </c>
      <c r="F178" s="23" t="s">
        <v>99</v>
      </c>
      <c r="G178" s="23" t="s">
        <v>112</v>
      </c>
      <c r="H178" s="23">
        <v>28</v>
      </c>
      <c r="I178" s="26">
        <v>61.04</v>
      </c>
    </row>
    <row r="179" spans="2:9" x14ac:dyDescent="0.25">
      <c r="B179" s="24">
        <v>43630</v>
      </c>
      <c r="C179" s="23" t="s">
        <v>106</v>
      </c>
      <c r="D179" s="23" t="s">
        <v>107</v>
      </c>
      <c r="E179" s="25">
        <v>3062</v>
      </c>
      <c r="F179" s="23" t="s">
        <v>99</v>
      </c>
      <c r="G179" s="23" t="s">
        <v>102</v>
      </c>
      <c r="H179" s="23">
        <v>141</v>
      </c>
      <c r="I179" s="26">
        <v>400.44</v>
      </c>
    </row>
    <row r="180" spans="2:9" x14ac:dyDescent="0.25">
      <c r="B180" s="24">
        <v>43633</v>
      </c>
      <c r="C180" s="23" t="s">
        <v>95</v>
      </c>
      <c r="D180" s="23" t="s">
        <v>101</v>
      </c>
      <c r="E180" s="25">
        <v>3000</v>
      </c>
      <c r="F180" s="23" t="s">
        <v>99</v>
      </c>
      <c r="G180" s="23" t="s">
        <v>102</v>
      </c>
      <c r="H180" s="23">
        <v>98</v>
      </c>
      <c r="I180" s="26">
        <v>278.32</v>
      </c>
    </row>
    <row r="181" spans="2:9" x14ac:dyDescent="0.25">
      <c r="B181" s="24">
        <v>43634</v>
      </c>
      <c r="C181" s="23" t="s">
        <v>95</v>
      </c>
      <c r="D181" s="23" t="s">
        <v>103</v>
      </c>
      <c r="E181" s="25">
        <v>3082</v>
      </c>
      <c r="F181" s="23" t="s">
        <v>99</v>
      </c>
      <c r="G181" s="23" t="s">
        <v>112</v>
      </c>
      <c r="H181" s="23">
        <v>211</v>
      </c>
      <c r="I181" s="26">
        <v>459.98</v>
      </c>
    </row>
    <row r="182" spans="2:9" x14ac:dyDescent="0.25">
      <c r="B182" s="24">
        <v>43635</v>
      </c>
      <c r="C182" s="23" t="s">
        <v>95</v>
      </c>
      <c r="D182" s="23" t="s">
        <v>96</v>
      </c>
      <c r="E182" s="25">
        <v>3036</v>
      </c>
      <c r="F182" s="23" t="s">
        <v>104</v>
      </c>
      <c r="G182" s="23" t="s">
        <v>105</v>
      </c>
      <c r="H182" s="23">
        <v>28</v>
      </c>
      <c r="I182" s="26">
        <v>49.56</v>
      </c>
    </row>
    <row r="183" spans="2:9" x14ac:dyDescent="0.25">
      <c r="B183" s="24">
        <v>43636</v>
      </c>
      <c r="C183" s="23" t="s">
        <v>95</v>
      </c>
      <c r="D183" s="23" t="s">
        <v>101</v>
      </c>
      <c r="E183" s="25">
        <v>3000</v>
      </c>
      <c r="F183" s="23" t="s">
        <v>97</v>
      </c>
      <c r="G183" s="23" t="s">
        <v>98</v>
      </c>
      <c r="H183" s="23">
        <v>26</v>
      </c>
      <c r="I183" s="26">
        <v>43.68</v>
      </c>
    </row>
    <row r="184" spans="2:9" x14ac:dyDescent="0.25">
      <c r="B184" s="24">
        <v>43637</v>
      </c>
      <c r="C184" s="23" t="s">
        <v>95</v>
      </c>
      <c r="D184" s="23" t="s">
        <v>101</v>
      </c>
      <c r="E184" s="25">
        <v>3000</v>
      </c>
      <c r="F184" s="23" t="s">
        <v>99</v>
      </c>
      <c r="G184" s="23" t="s">
        <v>112</v>
      </c>
      <c r="H184" s="23">
        <v>81</v>
      </c>
      <c r="I184" s="26">
        <v>176.58</v>
      </c>
    </row>
    <row r="185" spans="2:9" x14ac:dyDescent="0.25">
      <c r="B185" s="24">
        <v>43640</v>
      </c>
      <c r="C185" s="23" t="s">
        <v>106</v>
      </c>
      <c r="D185" s="23" t="s">
        <v>108</v>
      </c>
      <c r="E185" s="25">
        <v>3659</v>
      </c>
      <c r="F185" s="23" t="s">
        <v>104</v>
      </c>
      <c r="G185" s="23" t="s">
        <v>105</v>
      </c>
      <c r="H185" s="23">
        <v>58</v>
      </c>
      <c r="I185" s="26">
        <v>102.66</v>
      </c>
    </row>
    <row r="186" spans="2:9" x14ac:dyDescent="0.25">
      <c r="B186" s="24">
        <v>43641</v>
      </c>
      <c r="C186" s="23" t="s">
        <v>106</v>
      </c>
      <c r="D186" s="23" t="s">
        <v>107</v>
      </c>
      <c r="E186" s="25">
        <v>3062</v>
      </c>
      <c r="F186" s="23" t="s">
        <v>104</v>
      </c>
      <c r="G186" s="23" t="s">
        <v>105</v>
      </c>
      <c r="H186" s="23">
        <v>104</v>
      </c>
      <c r="I186" s="26">
        <v>184.08</v>
      </c>
    </row>
    <row r="187" spans="2:9" x14ac:dyDescent="0.25">
      <c r="B187" s="24">
        <v>43642</v>
      </c>
      <c r="C187" s="23" t="s">
        <v>106</v>
      </c>
      <c r="D187" s="23" t="s">
        <v>107</v>
      </c>
      <c r="E187" s="25">
        <v>3062</v>
      </c>
      <c r="F187" s="23" t="s">
        <v>97</v>
      </c>
      <c r="G187" s="23" t="s">
        <v>98</v>
      </c>
      <c r="H187" s="23">
        <v>114</v>
      </c>
      <c r="I187" s="26">
        <v>191.52</v>
      </c>
    </row>
    <row r="188" spans="2:9" x14ac:dyDescent="0.25">
      <c r="B188" s="24">
        <v>43643</v>
      </c>
      <c r="C188" s="23" t="s">
        <v>95</v>
      </c>
      <c r="D188" s="23" t="s">
        <v>96</v>
      </c>
      <c r="E188" s="25">
        <v>3090</v>
      </c>
      <c r="F188" s="23" t="s">
        <v>99</v>
      </c>
      <c r="G188" s="23" t="s">
        <v>112</v>
      </c>
      <c r="H188" s="23">
        <v>144</v>
      </c>
      <c r="I188" s="26">
        <v>313.92</v>
      </c>
    </row>
    <row r="189" spans="2:9" x14ac:dyDescent="0.25">
      <c r="B189" s="24">
        <v>43644</v>
      </c>
      <c r="C189" s="23" t="s">
        <v>106</v>
      </c>
      <c r="D189" s="23" t="s">
        <v>108</v>
      </c>
      <c r="E189" s="25">
        <v>3659</v>
      </c>
      <c r="F189" s="23" t="s">
        <v>104</v>
      </c>
      <c r="G189" s="23" t="s">
        <v>113</v>
      </c>
      <c r="H189" s="23">
        <v>43</v>
      </c>
      <c r="I189" s="26">
        <v>80.41</v>
      </c>
    </row>
    <row r="190" spans="2:9" x14ac:dyDescent="0.25">
      <c r="B190" s="24">
        <v>43647</v>
      </c>
      <c r="C190" s="23" t="s">
        <v>106</v>
      </c>
      <c r="D190" s="23" t="s">
        <v>107</v>
      </c>
      <c r="E190" s="25">
        <v>3062</v>
      </c>
      <c r="F190" s="23" t="s">
        <v>99</v>
      </c>
      <c r="G190" s="23" t="s">
        <v>112</v>
      </c>
      <c r="H190" s="23">
        <v>144</v>
      </c>
      <c r="I190" s="26">
        <v>313.92</v>
      </c>
    </row>
    <row r="191" spans="2:9" x14ac:dyDescent="0.25">
      <c r="B191" s="24">
        <v>43648</v>
      </c>
      <c r="C191" s="23" t="s">
        <v>95</v>
      </c>
      <c r="D191" s="23" t="s">
        <v>96</v>
      </c>
      <c r="E191" s="25">
        <v>3090</v>
      </c>
      <c r="F191" s="23" t="s">
        <v>104</v>
      </c>
      <c r="G191" s="23" t="s">
        <v>105</v>
      </c>
      <c r="H191" s="23">
        <v>90</v>
      </c>
      <c r="I191" s="26">
        <v>159.30000000000001</v>
      </c>
    </row>
    <row r="192" spans="2:9" x14ac:dyDescent="0.25">
      <c r="B192" s="24">
        <v>43649</v>
      </c>
      <c r="C192" s="23" t="s">
        <v>95</v>
      </c>
      <c r="D192" s="23" t="s">
        <v>101</v>
      </c>
      <c r="E192" s="25">
        <v>3000</v>
      </c>
      <c r="F192" s="23" t="s">
        <v>97</v>
      </c>
      <c r="G192" s="23" t="s">
        <v>111</v>
      </c>
      <c r="H192" s="23">
        <v>26</v>
      </c>
      <c r="I192" s="26">
        <v>81.900000000000006</v>
      </c>
    </row>
    <row r="193" spans="2:9" x14ac:dyDescent="0.25">
      <c r="B193" s="24">
        <v>43650</v>
      </c>
      <c r="C193" s="23" t="s">
        <v>95</v>
      </c>
      <c r="D193" s="23" t="s">
        <v>96</v>
      </c>
      <c r="E193" s="25">
        <v>3036</v>
      </c>
      <c r="F193" s="23" t="s">
        <v>104</v>
      </c>
      <c r="G193" s="23" t="s">
        <v>113</v>
      </c>
      <c r="H193" s="23">
        <v>34</v>
      </c>
      <c r="I193" s="26">
        <v>63.58</v>
      </c>
    </row>
    <row r="194" spans="2:9" x14ac:dyDescent="0.25">
      <c r="B194" s="24">
        <v>43651</v>
      </c>
      <c r="C194" s="23" t="s">
        <v>95</v>
      </c>
      <c r="D194" s="23" t="s">
        <v>101</v>
      </c>
      <c r="E194" s="25">
        <v>3000</v>
      </c>
      <c r="F194" s="23" t="s">
        <v>104</v>
      </c>
      <c r="G194" s="23" t="s">
        <v>105</v>
      </c>
      <c r="H194" s="23">
        <v>74</v>
      </c>
      <c r="I194" s="26">
        <v>130.97999999999999</v>
      </c>
    </row>
    <row r="195" spans="2:9" x14ac:dyDescent="0.25">
      <c r="B195" s="24">
        <v>43654</v>
      </c>
      <c r="C195" s="23" t="s">
        <v>95</v>
      </c>
      <c r="D195" s="23" t="s">
        <v>103</v>
      </c>
      <c r="E195" s="25">
        <v>3082</v>
      </c>
      <c r="F195" s="23" t="s">
        <v>104</v>
      </c>
      <c r="G195" s="23" t="s">
        <v>113</v>
      </c>
      <c r="H195" s="23">
        <v>84</v>
      </c>
      <c r="I195" s="26">
        <v>157.08000000000001</v>
      </c>
    </row>
    <row r="196" spans="2:9" x14ac:dyDescent="0.25">
      <c r="B196" s="24">
        <v>43655</v>
      </c>
      <c r="C196" s="23" t="s">
        <v>106</v>
      </c>
      <c r="D196" s="23" t="s">
        <v>108</v>
      </c>
      <c r="E196" s="25">
        <v>3659</v>
      </c>
      <c r="F196" s="23" t="s">
        <v>104</v>
      </c>
      <c r="G196" s="23" t="s">
        <v>113</v>
      </c>
      <c r="H196" s="23">
        <v>72</v>
      </c>
      <c r="I196" s="26">
        <v>134.63999999999999</v>
      </c>
    </row>
    <row r="197" spans="2:9" x14ac:dyDescent="0.25">
      <c r="B197" s="24">
        <v>43656</v>
      </c>
      <c r="C197" s="23" t="s">
        <v>95</v>
      </c>
      <c r="D197" s="23" t="s">
        <v>101</v>
      </c>
      <c r="E197" s="25">
        <v>3000</v>
      </c>
      <c r="F197" s="23" t="s">
        <v>109</v>
      </c>
      <c r="G197" s="23" t="s">
        <v>110</v>
      </c>
      <c r="H197" s="23">
        <v>38</v>
      </c>
      <c r="I197" s="26">
        <v>132.62</v>
      </c>
    </row>
    <row r="198" spans="2:9" x14ac:dyDescent="0.25">
      <c r="B198" s="24">
        <v>43657</v>
      </c>
      <c r="C198" s="23" t="s">
        <v>106</v>
      </c>
      <c r="D198" s="23" t="s">
        <v>107</v>
      </c>
      <c r="E198" s="25">
        <v>3062</v>
      </c>
      <c r="F198" s="23" t="s">
        <v>104</v>
      </c>
      <c r="G198" s="23" t="s">
        <v>105</v>
      </c>
      <c r="H198" s="23">
        <v>30</v>
      </c>
      <c r="I198" s="26">
        <v>53.1</v>
      </c>
    </row>
    <row r="199" spans="2:9" x14ac:dyDescent="0.25">
      <c r="B199" s="24">
        <v>43658</v>
      </c>
      <c r="C199" s="23" t="s">
        <v>95</v>
      </c>
      <c r="D199" s="23" t="s">
        <v>96</v>
      </c>
      <c r="E199" s="25">
        <v>3090</v>
      </c>
      <c r="F199" s="23" t="s">
        <v>99</v>
      </c>
      <c r="G199" s="23" t="s">
        <v>112</v>
      </c>
      <c r="H199" s="23">
        <v>201</v>
      </c>
      <c r="I199" s="26">
        <v>438.18</v>
      </c>
    </row>
    <row r="200" spans="2:9" x14ac:dyDescent="0.25">
      <c r="B200" s="24">
        <v>43661</v>
      </c>
      <c r="C200" s="23" t="s">
        <v>106</v>
      </c>
      <c r="D200" s="23" t="s">
        <v>107</v>
      </c>
      <c r="E200" s="25">
        <v>3062</v>
      </c>
      <c r="F200" s="23" t="s">
        <v>104</v>
      </c>
      <c r="G200" s="23" t="s">
        <v>113</v>
      </c>
      <c r="H200" s="23">
        <v>49</v>
      </c>
      <c r="I200" s="26">
        <v>91.63</v>
      </c>
    </row>
    <row r="201" spans="2:9" x14ac:dyDescent="0.25">
      <c r="B201" s="24">
        <v>43662</v>
      </c>
      <c r="C201" s="23" t="s">
        <v>95</v>
      </c>
      <c r="D201" s="23" t="s">
        <v>101</v>
      </c>
      <c r="E201" s="25">
        <v>3000</v>
      </c>
      <c r="F201" s="23" t="s">
        <v>99</v>
      </c>
      <c r="G201" s="23" t="s">
        <v>112</v>
      </c>
      <c r="H201" s="23">
        <v>102</v>
      </c>
      <c r="I201" s="26">
        <v>222.36</v>
      </c>
    </row>
    <row r="202" spans="2:9" x14ac:dyDescent="0.25">
      <c r="B202" s="24">
        <v>43663</v>
      </c>
      <c r="C202" s="23" t="s">
        <v>95</v>
      </c>
      <c r="D202" s="23" t="s">
        <v>96</v>
      </c>
      <c r="E202" s="25">
        <v>3036</v>
      </c>
      <c r="F202" s="23" t="s">
        <v>104</v>
      </c>
      <c r="G202" s="23" t="s">
        <v>105</v>
      </c>
      <c r="H202" s="23">
        <v>31</v>
      </c>
      <c r="I202" s="26">
        <v>54.87</v>
      </c>
    </row>
    <row r="203" spans="2:9" x14ac:dyDescent="0.25">
      <c r="B203" s="24">
        <v>43664</v>
      </c>
      <c r="C203" s="23" t="s">
        <v>95</v>
      </c>
      <c r="D203" s="23" t="s">
        <v>103</v>
      </c>
      <c r="E203" s="25">
        <v>3082</v>
      </c>
      <c r="F203" s="23" t="s">
        <v>104</v>
      </c>
      <c r="G203" s="23" t="s">
        <v>105</v>
      </c>
      <c r="H203" s="23">
        <v>61</v>
      </c>
      <c r="I203" s="26">
        <v>107.97</v>
      </c>
    </row>
    <row r="204" spans="2:9" x14ac:dyDescent="0.25">
      <c r="B204" s="24">
        <v>43665</v>
      </c>
      <c r="C204" s="23" t="s">
        <v>106</v>
      </c>
      <c r="D204" s="23" t="s">
        <v>107</v>
      </c>
      <c r="E204" s="25">
        <v>3062</v>
      </c>
      <c r="F204" s="23" t="s">
        <v>104</v>
      </c>
      <c r="G204" s="23" t="s">
        <v>105</v>
      </c>
      <c r="H204" s="23">
        <v>70</v>
      </c>
      <c r="I204" s="26">
        <v>123.9</v>
      </c>
    </row>
    <row r="205" spans="2:9" x14ac:dyDescent="0.25">
      <c r="B205" s="24">
        <v>43668</v>
      </c>
      <c r="C205" s="23" t="s">
        <v>95</v>
      </c>
      <c r="D205" s="23" t="s">
        <v>103</v>
      </c>
      <c r="E205" s="25">
        <v>3082</v>
      </c>
      <c r="F205" s="23" t="s">
        <v>97</v>
      </c>
      <c r="G205" s="23" t="s">
        <v>98</v>
      </c>
      <c r="H205" s="23">
        <v>50</v>
      </c>
      <c r="I205" s="26">
        <v>84</v>
      </c>
    </row>
    <row r="206" spans="2:9" x14ac:dyDescent="0.25">
      <c r="B206" s="24">
        <v>43669</v>
      </c>
      <c r="C206" s="23" t="s">
        <v>95</v>
      </c>
      <c r="D206" s="23" t="s">
        <v>101</v>
      </c>
      <c r="E206" s="25">
        <v>3000</v>
      </c>
      <c r="F206" s="23" t="s">
        <v>99</v>
      </c>
      <c r="G206" s="23" t="s">
        <v>102</v>
      </c>
      <c r="H206" s="23">
        <v>97</v>
      </c>
      <c r="I206" s="26">
        <v>275.48</v>
      </c>
    </row>
    <row r="207" spans="2:9" x14ac:dyDescent="0.25">
      <c r="B207" s="24">
        <v>43670</v>
      </c>
      <c r="C207" s="23" t="s">
        <v>106</v>
      </c>
      <c r="D207" s="23" t="s">
        <v>108</v>
      </c>
      <c r="E207" s="25">
        <v>3659</v>
      </c>
      <c r="F207" s="23" t="s">
        <v>99</v>
      </c>
      <c r="G207" s="23" t="s">
        <v>112</v>
      </c>
      <c r="H207" s="23">
        <v>139</v>
      </c>
      <c r="I207" s="26">
        <v>303.02</v>
      </c>
    </row>
    <row r="208" spans="2:9" x14ac:dyDescent="0.25">
      <c r="B208" s="24">
        <v>43671</v>
      </c>
      <c r="C208" s="23" t="s">
        <v>95</v>
      </c>
      <c r="D208" s="23" t="s">
        <v>96</v>
      </c>
      <c r="E208" s="25">
        <v>3090</v>
      </c>
      <c r="F208" s="23" t="s">
        <v>109</v>
      </c>
      <c r="G208" s="23" t="s">
        <v>110</v>
      </c>
      <c r="H208" s="23">
        <v>23</v>
      </c>
      <c r="I208" s="26">
        <v>80.27</v>
      </c>
    </row>
    <row r="209" spans="2:9" x14ac:dyDescent="0.25">
      <c r="B209" s="24">
        <v>43672</v>
      </c>
      <c r="C209" s="23" t="s">
        <v>106</v>
      </c>
      <c r="D209" s="23" t="s">
        <v>107</v>
      </c>
      <c r="E209" s="25">
        <v>3062</v>
      </c>
      <c r="F209" s="23" t="s">
        <v>104</v>
      </c>
      <c r="G209" s="23" t="s">
        <v>113</v>
      </c>
      <c r="H209" s="23">
        <v>71</v>
      </c>
      <c r="I209" s="26">
        <v>132.77000000000001</v>
      </c>
    </row>
    <row r="210" spans="2:9" x14ac:dyDescent="0.25">
      <c r="B210" s="24">
        <v>43675</v>
      </c>
      <c r="C210" s="23" t="s">
        <v>106</v>
      </c>
      <c r="D210" s="23" t="s">
        <v>107</v>
      </c>
      <c r="E210" s="25">
        <v>3062</v>
      </c>
      <c r="F210" s="23" t="s">
        <v>99</v>
      </c>
      <c r="G210" s="23" t="s">
        <v>100</v>
      </c>
      <c r="H210" s="23">
        <v>78</v>
      </c>
      <c r="I210" s="26">
        <v>145.86000000000001</v>
      </c>
    </row>
    <row r="211" spans="2:9" x14ac:dyDescent="0.25">
      <c r="B211" s="24">
        <v>43676</v>
      </c>
      <c r="C211" s="23" t="s">
        <v>95</v>
      </c>
      <c r="D211" s="23" t="s">
        <v>103</v>
      </c>
      <c r="E211" s="25">
        <v>3082</v>
      </c>
      <c r="F211" s="23" t="s">
        <v>104</v>
      </c>
      <c r="G211" s="23" t="s">
        <v>105</v>
      </c>
      <c r="H211" s="23">
        <v>93</v>
      </c>
      <c r="I211" s="26">
        <v>164.61</v>
      </c>
    </row>
    <row r="212" spans="2:9" x14ac:dyDescent="0.25">
      <c r="B212" s="24">
        <v>43677</v>
      </c>
      <c r="C212" s="23" t="s">
        <v>95</v>
      </c>
      <c r="D212" s="23" t="s">
        <v>101</v>
      </c>
      <c r="E212" s="25">
        <v>3000</v>
      </c>
      <c r="F212" s="23" t="s">
        <v>97</v>
      </c>
      <c r="G212" s="23" t="s">
        <v>98</v>
      </c>
      <c r="H212" s="23">
        <v>46</v>
      </c>
      <c r="I212" s="26">
        <v>77.28</v>
      </c>
    </row>
    <row r="213" spans="2:9" x14ac:dyDescent="0.25">
      <c r="B213" s="24">
        <v>43678</v>
      </c>
      <c r="C213" s="23" t="s">
        <v>106</v>
      </c>
      <c r="D213" s="23" t="s">
        <v>108</v>
      </c>
      <c r="E213" s="25">
        <v>3659</v>
      </c>
      <c r="F213" s="23" t="s">
        <v>99</v>
      </c>
      <c r="G213" s="23" t="s">
        <v>100</v>
      </c>
      <c r="H213" s="23">
        <v>59</v>
      </c>
      <c r="I213" s="26">
        <v>110.33</v>
      </c>
    </row>
    <row r="214" spans="2:9" x14ac:dyDescent="0.25">
      <c r="B214" s="24">
        <v>43679</v>
      </c>
      <c r="C214" s="23" t="s">
        <v>106</v>
      </c>
      <c r="D214" s="23" t="s">
        <v>108</v>
      </c>
      <c r="E214" s="25">
        <v>3659</v>
      </c>
      <c r="F214" s="23" t="s">
        <v>104</v>
      </c>
      <c r="G214" s="23" t="s">
        <v>105</v>
      </c>
      <c r="H214" s="23">
        <v>46</v>
      </c>
      <c r="I214" s="26">
        <v>81.42</v>
      </c>
    </row>
    <row r="215" spans="2:9" x14ac:dyDescent="0.25">
      <c r="B215" s="24">
        <v>43682</v>
      </c>
      <c r="C215" s="23" t="s">
        <v>106</v>
      </c>
      <c r="D215" s="23" t="s">
        <v>107</v>
      </c>
      <c r="E215" s="25">
        <v>3062</v>
      </c>
      <c r="F215" s="23" t="s">
        <v>99</v>
      </c>
      <c r="G215" s="23" t="s">
        <v>102</v>
      </c>
      <c r="H215" s="23">
        <v>76</v>
      </c>
      <c r="I215" s="26">
        <v>215.84</v>
      </c>
    </row>
    <row r="216" spans="2:9" x14ac:dyDescent="0.25">
      <c r="B216" s="24">
        <v>43683</v>
      </c>
      <c r="C216" s="23" t="s">
        <v>95</v>
      </c>
      <c r="D216" s="23" t="s">
        <v>96</v>
      </c>
      <c r="E216" s="25">
        <v>3090</v>
      </c>
      <c r="F216" s="23" t="s">
        <v>104</v>
      </c>
      <c r="G216" s="23" t="s">
        <v>113</v>
      </c>
      <c r="H216" s="23">
        <v>84</v>
      </c>
      <c r="I216" s="26">
        <v>157.08000000000001</v>
      </c>
    </row>
    <row r="217" spans="2:9" x14ac:dyDescent="0.25">
      <c r="B217" s="24">
        <v>43684</v>
      </c>
      <c r="C217" s="23" t="s">
        <v>95</v>
      </c>
      <c r="D217" s="23" t="s">
        <v>96</v>
      </c>
      <c r="E217" s="25">
        <v>3090</v>
      </c>
      <c r="F217" s="23" t="s">
        <v>104</v>
      </c>
      <c r="G217" s="23" t="s">
        <v>105</v>
      </c>
      <c r="H217" s="23">
        <v>44</v>
      </c>
      <c r="I217" s="26">
        <v>77.88</v>
      </c>
    </row>
    <row r="218" spans="2:9" x14ac:dyDescent="0.25">
      <c r="B218" s="24">
        <v>43685</v>
      </c>
      <c r="C218" s="23" t="s">
        <v>106</v>
      </c>
      <c r="D218" s="23" t="s">
        <v>107</v>
      </c>
      <c r="E218" s="25">
        <v>3062</v>
      </c>
      <c r="F218" s="23" t="s">
        <v>104</v>
      </c>
      <c r="G218" s="23" t="s">
        <v>113</v>
      </c>
      <c r="H218" s="23">
        <v>77</v>
      </c>
      <c r="I218" s="26">
        <v>143.99</v>
      </c>
    </row>
    <row r="219" spans="2:9" x14ac:dyDescent="0.25">
      <c r="B219" s="24">
        <v>43686</v>
      </c>
      <c r="C219" s="23" t="s">
        <v>95</v>
      </c>
      <c r="D219" s="23" t="s">
        <v>96</v>
      </c>
      <c r="E219" s="25">
        <v>3090</v>
      </c>
      <c r="F219" s="23" t="s">
        <v>109</v>
      </c>
      <c r="G219" s="23" t="s">
        <v>110</v>
      </c>
      <c r="H219" s="23">
        <v>31</v>
      </c>
      <c r="I219" s="26">
        <v>108.19</v>
      </c>
    </row>
    <row r="220" spans="2:9" x14ac:dyDescent="0.25">
      <c r="B220" s="24">
        <v>43689</v>
      </c>
      <c r="C220" s="23" t="s">
        <v>95</v>
      </c>
      <c r="D220" s="23" t="s">
        <v>103</v>
      </c>
      <c r="E220" s="25">
        <v>3082</v>
      </c>
      <c r="F220" s="23" t="s">
        <v>104</v>
      </c>
      <c r="G220" s="23" t="s">
        <v>105</v>
      </c>
      <c r="H220" s="23">
        <v>116</v>
      </c>
      <c r="I220" s="26">
        <v>205.32</v>
      </c>
    </row>
    <row r="221" spans="2:9" x14ac:dyDescent="0.25">
      <c r="B221" s="24">
        <v>43690</v>
      </c>
      <c r="C221" s="23" t="s">
        <v>95</v>
      </c>
      <c r="D221" s="23" t="s">
        <v>96</v>
      </c>
      <c r="E221" s="25">
        <v>3090</v>
      </c>
      <c r="F221" s="23" t="s">
        <v>99</v>
      </c>
      <c r="G221" s="23" t="s">
        <v>102</v>
      </c>
      <c r="H221" s="23">
        <v>47</v>
      </c>
      <c r="I221" s="26">
        <v>133.47999999999999</v>
      </c>
    </row>
    <row r="222" spans="2:9" x14ac:dyDescent="0.25">
      <c r="B222" s="24">
        <v>43691</v>
      </c>
      <c r="C222" s="23" t="s">
        <v>95</v>
      </c>
      <c r="D222" s="23" t="s">
        <v>96</v>
      </c>
      <c r="E222" s="25">
        <v>3036</v>
      </c>
      <c r="F222" s="23" t="s">
        <v>104</v>
      </c>
      <c r="G222" s="23" t="s">
        <v>105</v>
      </c>
      <c r="H222" s="23">
        <v>30</v>
      </c>
      <c r="I222" s="26">
        <v>53.1</v>
      </c>
    </row>
    <row r="223" spans="2:9" x14ac:dyDescent="0.25">
      <c r="B223" s="24">
        <v>43692</v>
      </c>
      <c r="C223" s="23" t="s">
        <v>95</v>
      </c>
      <c r="D223" s="23" t="s">
        <v>101</v>
      </c>
      <c r="E223" s="25">
        <v>3000</v>
      </c>
      <c r="F223" s="23" t="s">
        <v>97</v>
      </c>
      <c r="G223" s="23" t="s">
        <v>111</v>
      </c>
      <c r="H223" s="23">
        <v>29</v>
      </c>
      <c r="I223" s="26">
        <v>91.35</v>
      </c>
    </row>
    <row r="224" spans="2:9" x14ac:dyDescent="0.25">
      <c r="B224" s="24">
        <v>43693</v>
      </c>
      <c r="C224" s="23" t="s">
        <v>95</v>
      </c>
      <c r="D224" s="23" t="s">
        <v>101</v>
      </c>
      <c r="E224" s="25">
        <v>3000</v>
      </c>
      <c r="F224" s="23" t="s">
        <v>104</v>
      </c>
      <c r="G224" s="23" t="s">
        <v>105</v>
      </c>
      <c r="H224" s="23">
        <v>63</v>
      </c>
      <c r="I224" s="26">
        <v>111.51</v>
      </c>
    </row>
    <row r="225" spans="2:9" x14ac:dyDescent="0.25">
      <c r="B225" s="24">
        <v>43696</v>
      </c>
      <c r="C225" s="23" t="s">
        <v>95</v>
      </c>
      <c r="D225" s="23" t="s">
        <v>103</v>
      </c>
      <c r="E225" s="25">
        <v>3082</v>
      </c>
      <c r="F225" s="23" t="s">
        <v>99</v>
      </c>
      <c r="G225" s="23" t="s">
        <v>112</v>
      </c>
      <c r="H225" s="23">
        <v>143</v>
      </c>
      <c r="I225" s="26">
        <v>311.74</v>
      </c>
    </row>
    <row r="226" spans="2:9" x14ac:dyDescent="0.25">
      <c r="B226" s="24">
        <v>43697</v>
      </c>
      <c r="C226" s="23" t="s">
        <v>95</v>
      </c>
      <c r="D226" s="23" t="s">
        <v>101</v>
      </c>
      <c r="E226" s="25">
        <v>3000</v>
      </c>
      <c r="F226" s="23" t="s">
        <v>109</v>
      </c>
      <c r="G226" s="23" t="s">
        <v>110</v>
      </c>
      <c r="H226" s="23">
        <v>51</v>
      </c>
      <c r="I226" s="26">
        <v>177.99</v>
      </c>
    </row>
    <row r="227" spans="2:9" x14ac:dyDescent="0.25">
      <c r="B227" s="24">
        <v>43698</v>
      </c>
      <c r="C227" s="23" t="s">
        <v>95</v>
      </c>
      <c r="D227" s="23" t="s">
        <v>103</v>
      </c>
      <c r="E227" s="25">
        <v>3082</v>
      </c>
      <c r="F227" s="23" t="s">
        <v>99</v>
      </c>
      <c r="G227" s="23" t="s">
        <v>102</v>
      </c>
      <c r="H227" s="23">
        <v>90</v>
      </c>
      <c r="I227" s="26">
        <v>255.6</v>
      </c>
    </row>
    <row r="228" spans="2:9" x14ac:dyDescent="0.25">
      <c r="B228" s="24">
        <v>43699</v>
      </c>
      <c r="C228" s="23" t="s">
        <v>106</v>
      </c>
      <c r="D228" s="23" t="s">
        <v>107</v>
      </c>
      <c r="E228" s="25">
        <v>3062</v>
      </c>
      <c r="F228" s="23" t="s">
        <v>109</v>
      </c>
      <c r="G228" s="23" t="s">
        <v>110</v>
      </c>
      <c r="H228" s="23">
        <v>21</v>
      </c>
      <c r="I228" s="26">
        <v>73.290000000000006</v>
      </c>
    </row>
    <row r="229" spans="2:9" x14ac:dyDescent="0.25">
      <c r="B229" s="24">
        <v>43700</v>
      </c>
      <c r="C229" s="23" t="s">
        <v>95</v>
      </c>
      <c r="D229" s="23" t="s">
        <v>96</v>
      </c>
      <c r="E229" s="25">
        <v>3090</v>
      </c>
      <c r="F229" s="23" t="s">
        <v>104</v>
      </c>
      <c r="G229" s="23" t="s">
        <v>105</v>
      </c>
      <c r="H229" s="23">
        <v>102</v>
      </c>
      <c r="I229" s="26">
        <v>180.54</v>
      </c>
    </row>
    <row r="230" spans="2:9" x14ac:dyDescent="0.25">
      <c r="B230" s="24">
        <v>43703</v>
      </c>
      <c r="C230" s="23" t="s">
        <v>95</v>
      </c>
      <c r="D230" s="23" t="s">
        <v>101</v>
      </c>
      <c r="E230" s="25">
        <v>3000</v>
      </c>
      <c r="F230" s="23" t="s">
        <v>99</v>
      </c>
      <c r="G230" s="23" t="s">
        <v>112</v>
      </c>
      <c r="H230" s="23">
        <v>32</v>
      </c>
      <c r="I230" s="26">
        <v>69.760000000000005</v>
      </c>
    </row>
    <row r="231" spans="2:9" x14ac:dyDescent="0.25">
      <c r="B231" s="24">
        <v>43704</v>
      </c>
      <c r="C231" s="23" t="s">
        <v>95</v>
      </c>
      <c r="D231" s="23" t="s">
        <v>103</v>
      </c>
      <c r="E231" s="25">
        <v>3082</v>
      </c>
      <c r="F231" s="23" t="s">
        <v>104</v>
      </c>
      <c r="G231" s="23" t="s">
        <v>113</v>
      </c>
      <c r="H231" s="23">
        <v>73</v>
      </c>
      <c r="I231" s="26">
        <v>136.51</v>
      </c>
    </row>
    <row r="232" spans="2:9" x14ac:dyDescent="0.25">
      <c r="B232" s="24">
        <v>43705</v>
      </c>
      <c r="C232" s="23" t="s">
        <v>95</v>
      </c>
      <c r="D232" s="23" t="s">
        <v>96</v>
      </c>
      <c r="E232" s="25">
        <v>3036</v>
      </c>
      <c r="F232" s="23" t="s">
        <v>104</v>
      </c>
      <c r="G232" s="23" t="s">
        <v>113</v>
      </c>
      <c r="H232" s="23">
        <v>26</v>
      </c>
      <c r="I232" s="26">
        <v>48.62</v>
      </c>
    </row>
    <row r="233" spans="2:9" x14ac:dyDescent="0.25">
      <c r="B233" s="24">
        <v>43706</v>
      </c>
      <c r="C233" s="23" t="s">
        <v>95</v>
      </c>
      <c r="D233" s="23" t="s">
        <v>101</v>
      </c>
      <c r="E233" s="25">
        <v>3000</v>
      </c>
      <c r="F233" s="23" t="s">
        <v>104</v>
      </c>
      <c r="G233" s="23" t="s">
        <v>105</v>
      </c>
      <c r="H233" s="23">
        <v>41</v>
      </c>
      <c r="I233" s="26">
        <v>72.569999999999993</v>
      </c>
    </row>
    <row r="234" spans="2:9" x14ac:dyDescent="0.25">
      <c r="B234" s="24">
        <v>43707</v>
      </c>
      <c r="C234" s="23" t="s">
        <v>95</v>
      </c>
      <c r="D234" s="23" t="s">
        <v>101</v>
      </c>
      <c r="E234" s="25">
        <v>3000</v>
      </c>
      <c r="F234" s="23" t="s">
        <v>97</v>
      </c>
      <c r="G234" s="23" t="s">
        <v>98</v>
      </c>
      <c r="H234" s="23">
        <v>24</v>
      </c>
      <c r="I234" s="26">
        <v>40.32</v>
      </c>
    </row>
    <row r="235" spans="2:9" x14ac:dyDescent="0.25">
      <c r="B235" s="24">
        <v>43710</v>
      </c>
      <c r="C235" s="23" t="s">
        <v>95</v>
      </c>
      <c r="D235" s="23" t="s">
        <v>96</v>
      </c>
      <c r="E235" s="25">
        <v>3090</v>
      </c>
      <c r="F235" s="23" t="s">
        <v>104</v>
      </c>
      <c r="G235" s="23" t="s">
        <v>113</v>
      </c>
      <c r="H235" s="23">
        <v>41</v>
      </c>
      <c r="I235" s="26">
        <v>76.67</v>
      </c>
    </row>
    <row r="236" spans="2:9" x14ac:dyDescent="0.25">
      <c r="B236" s="24">
        <v>43711</v>
      </c>
      <c r="C236" s="23" t="s">
        <v>95</v>
      </c>
      <c r="D236" s="23" t="s">
        <v>101</v>
      </c>
      <c r="E236" s="25">
        <v>3000</v>
      </c>
      <c r="F236" s="23" t="s">
        <v>99</v>
      </c>
      <c r="G236" s="23" t="s">
        <v>112</v>
      </c>
      <c r="H236" s="23">
        <v>43</v>
      </c>
      <c r="I236" s="26">
        <v>93.74</v>
      </c>
    </row>
    <row r="237" spans="2:9" x14ac:dyDescent="0.25">
      <c r="B237" s="24">
        <v>43712</v>
      </c>
      <c r="C237" s="23" t="s">
        <v>106</v>
      </c>
      <c r="D237" s="23" t="s">
        <v>108</v>
      </c>
      <c r="E237" s="25">
        <v>3659</v>
      </c>
      <c r="F237" s="23" t="s">
        <v>99</v>
      </c>
      <c r="G237" s="23" t="s">
        <v>112</v>
      </c>
      <c r="H237" s="23">
        <v>128</v>
      </c>
      <c r="I237" s="26">
        <v>279.04000000000002</v>
      </c>
    </row>
    <row r="238" spans="2:9" x14ac:dyDescent="0.25">
      <c r="B238" s="24">
        <v>43713</v>
      </c>
      <c r="C238" s="23" t="s">
        <v>106</v>
      </c>
      <c r="D238" s="23" t="s">
        <v>107</v>
      </c>
      <c r="E238" s="25">
        <v>3062</v>
      </c>
      <c r="F238" s="23" t="s">
        <v>99</v>
      </c>
      <c r="G238" s="23" t="s">
        <v>102</v>
      </c>
      <c r="H238" s="23">
        <v>69</v>
      </c>
      <c r="I238" s="26">
        <v>195.96</v>
      </c>
    </row>
    <row r="239" spans="2:9" x14ac:dyDescent="0.25">
      <c r="B239" s="24">
        <v>43714</v>
      </c>
      <c r="C239" s="23" t="s">
        <v>106</v>
      </c>
      <c r="D239" s="23" t="s">
        <v>107</v>
      </c>
      <c r="E239" s="25">
        <v>3062</v>
      </c>
      <c r="F239" s="23" t="s">
        <v>99</v>
      </c>
      <c r="G239" s="23" t="s">
        <v>112</v>
      </c>
      <c r="H239" s="23">
        <v>30</v>
      </c>
      <c r="I239" s="26">
        <v>65.400000000000006</v>
      </c>
    </row>
    <row r="240" spans="2:9" x14ac:dyDescent="0.25">
      <c r="B240" s="24">
        <v>43717</v>
      </c>
      <c r="C240" s="23" t="s">
        <v>106</v>
      </c>
      <c r="D240" s="23" t="s">
        <v>107</v>
      </c>
      <c r="E240" s="25">
        <v>3062</v>
      </c>
      <c r="F240" s="23" t="s">
        <v>104</v>
      </c>
      <c r="G240" s="23" t="s">
        <v>105</v>
      </c>
      <c r="H240" s="23">
        <v>40</v>
      </c>
      <c r="I240" s="26">
        <v>70.8</v>
      </c>
    </row>
    <row r="241" spans="2:9" x14ac:dyDescent="0.25">
      <c r="B241" s="24">
        <v>43718</v>
      </c>
      <c r="C241" s="23" t="s">
        <v>95</v>
      </c>
      <c r="D241" s="23" t="s">
        <v>96</v>
      </c>
      <c r="E241" s="25">
        <v>3090</v>
      </c>
      <c r="F241" s="23" t="s">
        <v>104</v>
      </c>
      <c r="G241" s="23" t="s">
        <v>113</v>
      </c>
      <c r="H241" s="23">
        <v>68</v>
      </c>
      <c r="I241" s="26">
        <v>127.16</v>
      </c>
    </row>
    <row r="242" spans="2:9" x14ac:dyDescent="0.25">
      <c r="B242" s="24">
        <v>43719</v>
      </c>
      <c r="C242" s="23" t="s">
        <v>95</v>
      </c>
      <c r="D242" s="23" t="s">
        <v>101</v>
      </c>
      <c r="E242" s="25">
        <v>3000</v>
      </c>
      <c r="F242" s="23" t="s">
        <v>99</v>
      </c>
      <c r="G242" s="23" t="s">
        <v>112</v>
      </c>
      <c r="H242" s="23">
        <v>90</v>
      </c>
      <c r="I242" s="26">
        <v>196.2</v>
      </c>
    </row>
    <row r="243" spans="2:9" x14ac:dyDescent="0.25">
      <c r="B243" s="24">
        <v>43720</v>
      </c>
      <c r="C243" s="23" t="s">
        <v>106</v>
      </c>
      <c r="D243" s="23" t="s">
        <v>108</v>
      </c>
      <c r="E243" s="25">
        <v>3659</v>
      </c>
      <c r="F243" s="23" t="s">
        <v>97</v>
      </c>
      <c r="G243" s="23" t="s">
        <v>98</v>
      </c>
      <c r="H243" s="23">
        <v>41</v>
      </c>
      <c r="I243" s="26">
        <v>68.88</v>
      </c>
    </row>
    <row r="244" spans="2:9" x14ac:dyDescent="0.25">
      <c r="B244" s="24">
        <v>43721</v>
      </c>
      <c r="C244" s="23" t="s">
        <v>106</v>
      </c>
      <c r="D244" s="23" t="s">
        <v>108</v>
      </c>
      <c r="E244" s="25">
        <v>3659</v>
      </c>
      <c r="F244" s="23" t="s">
        <v>104</v>
      </c>
      <c r="G244" s="23" t="s">
        <v>113</v>
      </c>
      <c r="H244" s="23">
        <v>86</v>
      </c>
      <c r="I244" s="26">
        <v>160.82</v>
      </c>
    </row>
    <row r="245" spans="2:9" x14ac:dyDescent="0.25">
      <c r="B245" s="24">
        <v>43724</v>
      </c>
      <c r="C245" s="23" t="s">
        <v>95</v>
      </c>
      <c r="D245" s="23" t="s">
        <v>101</v>
      </c>
      <c r="E245" s="25">
        <v>3000</v>
      </c>
      <c r="F245" s="23" t="s">
        <v>99</v>
      </c>
      <c r="G245" s="23" t="s">
        <v>112</v>
      </c>
      <c r="H245" s="23">
        <v>38</v>
      </c>
      <c r="I245" s="26">
        <v>82.84</v>
      </c>
    </row>
    <row r="246" spans="2:9" x14ac:dyDescent="0.25">
      <c r="B246" s="24">
        <v>43725</v>
      </c>
      <c r="C246" s="23" t="s">
        <v>95</v>
      </c>
      <c r="D246" s="23" t="s">
        <v>103</v>
      </c>
      <c r="E246" s="25">
        <v>3082</v>
      </c>
      <c r="F246" s="23" t="s">
        <v>104</v>
      </c>
      <c r="G246" s="23" t="s">
        <v>113</v>
      </c>
      <c r="H246" s="23">
        <v>52</v>
      </c>
      <c r="I246" s="26">
        <v>97.24</v>
      </c>
    </row>
    <row r="247" spans="2:9" x14ac:dyDescent="0.25">
      <c r="B247" s="24">
        <v>43726</v>
      </c>
      <c r="C247" s="23" t="s">
        <v>95</v>
      </c>
      <c r="D247" s="23" t="s">
        <v>96</v>
      </c>
      <c r="E247" s="25">
        <v>3090</v>
      </c>
      <c r="F247" s="23" t="s">
        <v>99</v>
      </c>
      <c r="G247" s="23" t="s">
        <v>102</v>
      </c>
      <c r="H247" s="23">
        <v>97</v>
      </c>
      <c r="I247" s="26">
        <v>275.48</v>
      </c>
    </row>
    <row r="248" spans="2:9" x14ac:dyDescent="0.25">
      <c r="B248" s="24">
        <v>43727</v>
      </c>
      <c r="C248" s="23" t="s">
        <v>95</v>
      </c>
      <c r="D248" s="23" t="s">
        <v>96</v>
      </c>
      <c r="E248" s="25">
        <v>3090</v>
      </c>
      <c r="F248" s="23" t="s">
        <v>104</v>
      </c>
      <c r="G248" s="23" t="s">
        <v>105</v>
      </c>
      <c r="H248" s="23">
        <v>152</v>
      </c>
      <c r="I248" s="26">
        <v>269.04000000000002</v>
      </c>
    </row>
    <row r="249" spans="2:9" x14ac:dyDescent="0.25">
      <c r="B249" s="24">
        <v>43728</v>
      </c>
      <c r="C249" s="23" t="s">
        <v>95</v>
      </c>
      <c r="D249" s="23" t="s">
        <v>103</v>
      </c>
      <c r="E249" s="25">
        <v>3082</v>
      </c>
      <c r="F249" s="23" t="s">
        <v>104</v>
      </c>
      <c r="G249" s="23" t="s">
        <v>105</v>
      </c>
      <c r="H249" s="23">
        <v>176</v>
      </c>
      <c r="I249" s="26">
        <v>311.52</v>
      </c>
    </row>
    <row r="250" spans="2:9" x14ac:dyDescent="0.25">
      <c r="B250" s="24">
        <v>43731</v>
      </c>
      <c r="C250" s="23" t="s">
        <v>95</v>
      </c>
      <c r="D250" s="23" t="s">
        <v>101</v>
      </c>
      <c r="E250" s="25">
        <v>3000</v>
      </c>
      <c r="F250" s="23" t="s">
        <v>99</v>
      </c>
      <c r="G250" s="23" t="s">
        <v>112</v>
      </c>
      <c r="H250" s="23">
        <v>39</v>
      </c>
      <c r="I250" s="26">
        <v>85.02</v>
      </c>
    </row>
    <row r="251" spans="2:9" x14ac:dyDescent="0.25">
      <c r="B251" s="24">
        <v>43732</v>
      </c>
      <c r="C251" s="23" t="s">
        <v>95</v>
      </c>
      <c r="D251" s="23" t="s">
        <v>101</v>
      </c>
      <c r="E251" s="25">
        <v>3000</v>
      </c>
      <c r="F251" s="23" t="s">
        <v>99</v>
      </c>
      <c r="G251" s="23" t="s">
        <v>100</v>
      </c>
      <c r="H251" s="23">
        <v>83</v>
      </c>
      <c r="I251" s="26">
        <v>155.21</v>
      </c>
    </row>
    <row r="252" spans="2:9" x14ac:dyDescent="0.25">
      <c r="B252" s="24">
        <v>43733</v>
      </c>
      <c r="C252" s="23" t="s">
        <v>95</v>
      </c>
      <c r="D252" s="23" t="s">
        <v>96</v>
      </c>
      <c r="E252" s="25">
        <v>3090</v>
      </c>
      <c r="F252" s="23" t="s">
        <v>99</v>
      </c>
      <c r="G252" s="23" t="s">
        <v>112</v>
      </c>
      <c r="H252" s="23">
        <v>201</v>
      </c>
      <c r="I252" s="26">
        <v>438.18</v>
      </c>
    </row>
    <row r="253" spans="2:9" x14ac:dyDescent="0.25">
      <c r="B253" s="24">
        <v>43734</v>
      </c>
      <c r="C253" s="23" t="s">
        <v>95</v>
      </c>
      <c r="D253" s="23" t="s">
        <v>101</v>
      </c>
      <c r="E253" s="25">
        <v>3000</v>
      </c>
      <c r="F253" s="23" t="s">
        <v>97</v>
      </c>
      <c r="G253" s="23" t="s">
        <v>98</v>
      </c>
      <c r="H253" s="23">
        <v>47</v>
      </c>
      <c r="I253" s="26">
        <v>78.959999999999994</v>
      </c>
    </row>
    <row r="254" spans="2:9" x14ac:dyDescent="0.25">
      <c r="B254" s="24">
        <v>43735</v>
      </c>
      <c r="C254" s="23" t="s">
        <v>106</v>
      </c>
      <c r="D254" s="23" t="s">
        <v>108</v>
      </c>
      <c r="E254" s="25">
        <v>3659</v>
      </c>
      <c r="F254" s="23" t="s">
        <v>97</v>
      </c>
      <c r="G254" s="23" t="s">
        <v>98</v>
      </c>
      <c r="H254" s="23">
        <v>40</v>
      </c>
      <c r="I254" s="26">
        <v>67.2</v>
      </c>
    </row>
    <row r="255" spans="2:9" x14ac:dyDescent="0.25">
      <c r="B255" s="24">
        <v>43738</v>
      </c>
      <c r="C255" s="23" t="s">
        <v>106</v>
      </c>
      <c r="D255" s="23" t="s">
        <v>107</v>
      </c>
      <c r="E255" s="25">
        <v>3062</v>
      </c>
      <c r="F255" s="23" t="s">
        <v>109</v>
      </c>
      <c r="G255" s="23" t="s">
        <v>110</v>
      </c>
      <c r="H255" s="23">
        <v>26</v>
      </c>
      <c r="I255" s="26">
        <v>90.74</v>
      </c>
    </row>
    <row r="256" spans="2:9" x14ac:dyDescent="0.25">
      <c r="B256" s="24">
        <v>43739</v>
      </c>
      <c r="C256" s="23" t="s">
        <v>95</v>
      </c>
      <c r="D256" s="23" t="s">
        <v>96</v>
      </c>
      <c r="E256" s="25">
        <v>3036</v>
      </c>
      <c r="F256" s="23" t="s">
        <v>97</v>
      </c>
      <c r="G256" s="23" t="s">
        <v>98</v>
      </c>
      <c r="H256" s="23">
        <v>30</v>
      </c>
      <c r="I256" s="26">
        <v>50.4</v>
      </c>
    </row>
    <row r="257" spans="2:9" x14ac:dyDescent="0.25">
      <c r="B257" s="24">
        <v>43740</v>
      </c>
      <c r="C257" s="23" t="s">
        <v>95</v>
      </c>
      <c r="D257" s="23" t="s">
        <v>103</v>
      </c>
      <c r="E257" s="25">
        <v>3082</v>
      </c>
      <c r="F257" s="23" t="s">
        <v>99</v>
      </c>
      <c r="G257" s="23" t="s">
        <v>100</v>
      </c>
      <c r="H257" s="23">
        <v>151</v>
      </c>
      <c r="I257" s="26">
        <v>282.37</v>
      </c>
    </row>
    <row r="258" spans="2:9" x14ac:dyDescent="0.25">
      <c r="B258" s="24">
        <v>43741</v>
      </c>
      <c r="C258" s="23" t="s">
        <v>106</v>
      </c>
      <c r="D258" s="23" t="s">
        <v>107</v>
      </c>
      <c r="E258" s="25">
        <v>3062</v>
      </c>
      <c r="F258" s="23" t="s">
        <v>99</v>
      </c>
      <c r="G258" s="23" t="s">
        <v>112</v>
      </c>
      <c r="H258" s="23">
        <v>219</v>
      </c>
      <c r="I258" s="26">
        <v>477.42</v>
      </c>
    </row>
    <row r="259" spans="2:9" x14ac:dyDescent="0.25">
      <c r="B259" s="24">
        <v>43742</v>
      </c>
      <c r="C259" s="23" t="s">
        <v>95</v>
      </c>
      <c r="D259" s="23" t="s">
        <v>101</v>
      </c>
      <c r="E259" s="25">
        <v>3000</v>
      </c>
      <c r="F259" s="23" t="s">
        <v>104</v>
      </c>
      <c r="G259" s="23" t="s">
        <v>105</v>
      </c>
      <c r="H259" s="23">
        <v>57</v>
      </c>
      <c r="I259" s="26">
        <v>100.89</v>
      </c>
    </row>
    <row r="260" spans="2:9" x14ac:dyDescent="0.25">
      <c r="B260" s="24">
        <v>43745</v>
      </c>
      <c r="C260" s="23" t="s">
        <v>95</v>
      </c>
      <c r="D260" s="23" t="s">
        <v>101</v>
      </c>
      <c r="E260" s="25">
        <v>3000</v>
      </c>
      <c r="F260" s="23" t="s">
        <v>109</v>
      </c>
      <c r="G260" s="23" t="s">
        <v>110</v>
      </c>
      <c r="H260" s="23">
        <v>33</v>
      </c>
      <c r="I260" s="26">
        <v>115.17</v>
      </c>
    </row>
    <row r="261" spans="2:9" x14ac:dyDescent="0.25">
      <c r="B261" s="24">
        <v>43746</v>
      </c>
      <c r="C261" s="23" t="s">
        <v>95</v>
      </c>
      <c r="D261" s="23" t="s">
        <v>96</v>
      </c>
      <c r="E261" s="25">
        <v>3036</v>
      </c>
      <c r="F261" s="23" t="s">
        <v>99</v>
      </c>
      <c r="G261" s="23" t="s">
        <v>102</v>
      </c>
      <c r="H261" s="23">
        <v>29</v>
      </c>
      <c r="I261" s="26">
        <v>82.36</v>
      </c>
    </row>
    <row r="262" spans="2:9" x14ac:dyDescent="0.25">
      <c r="B262" s="24">
        <v>43747</v>
      </c>
      <c r="C262" s="23" t="s">
        <v>106</v>
      </c>
      <c r="D262" s="23" t="s">
        <v>108</v>
      </c>
      <c r="E262" s="25">
        <v>3659</v>
      </c>
      <c r="F262" s="23" t="s">
        <v>99</v>
      </c>
      <c r="G262" s="23" t="s">
        <v>100</v>
      </c>
      <c r="H262" s="23">
        <v>67</v>
      </c>
      <c r="I262" s="26">
        <v>125.29</v>
      </c>
    </row>
    <row r="263" spans="2:9" x14ac:dyDescent="0.25">
      <c r="B263" s="24">
        <v>43748</v>
      </c>
      <c r="C263" s="23" t="s">
        <v>95</v>
      </c>
      <c r="D263" s="23" t="s">
        <v>101</v>
      </c>
      <c r="E263" s="25">
        <v>3000</v>
      </c>
      <c r="F263" s="23" t="s">
        <v>97</v>
      </c>
      <c r="G263" s="23" t="s">
        <v>111</v>
      </c>
      <c r="H263" s="23">
        <v>32</v>
      </c>
      <c r="I263" s="26">
        <v>100.8</v>
      </c>
    </row>
    <row r="264" spans="2:9" x14ac:dyDescent="0.25">
      <c r="B264" s="24">
        <v>43749</v>
      </c>
      <c r="C264" s="23" t="s">
        <v>95</v>
      </c>
      <c r="D264" s="23" t="s">
        <v>103</v>
      </c>
      <c r="E264" s="25">
        <v>3082</v>
      </c>
      <c r="F264" s="23" t="s">
        <v>99</v>
      </c>
      <c r="G264" s="23" t="s">
        <v>102</v>
      </c>
      <c r="H264" s="23">
        <v>102</v>
      </c>
      <c r="I264" s="26">
        <v>289.68</v>
      </c>
    </row>
    <row r="265" spans="2:9" x14ac:dyDescent="0.25">
      <c r="B265" s="24">
        <v>43752</v>
      </c>
      <c r="C265" s="23" t="s">
        <v>106</v>
      </c>
      <c r="D265" s="23" t="s">
        <v>107</v>
      </c>
      <c r="E265" s="25">
        <v>3062</v>
      </c>
      <c r="F265" s="23" t="s">
        <v>109</v>
      </c>
      <c r="G265" s="23" t="s">
        <v>110</v>
      </c>
      <c r="H265" s="23">
        <v>21</v>
      </c>
      <c r="I265" s="26">
        <v>73.290000000000006</v>
      </c>
    </row>
    <row r="266" spans="2:9" x14ac:dyDescent="0.25">
      <c r="B266" s="24">
        <v>43753</v>
      </c>
      <c r="C266" s="23" t="s">
        <v>106</v>
      </c>
      <c r="D266" s="23" t="s">
        <v>108</v>
      </c>
      <c r="E266" s="25">
        <v>3659</v>
      </c>
      <c r="F266" s="23" t="s">
        <v>99</v>
      </c>
      <c r="G266" s="23" t="s">
        <v>102</v>
      </c>
      <c r="H266" s="23">
        <v>98</v>
      </c>
      <c r="I266" s="26">
        <v>278.32</v>
      </c>
    </row>
    <row r="267" spans="2:9" x14ac:dyDescent="0.25">
      <c r="B267" s="24">
        <v>43754</v>
      </c>
      <c r="C267" s="23" t="s">
        <v>95</v>
      </c>
      <c r="D267" s="23" t="s">
        <v>96</v>
      </c>
      <c r="E267" s="25">
        <v>3036</v>
      </c>
      <c r="F267" s="23" t="s">
        <v>109</v>
      </c>
      <c r="G267" s="23" t="s">
        <v>110</v>
      </c>
      <c r="H267" s="23">
        <v>37</v>
      </c>
      <c r="I267" s="26">
        <v>129.13</v>
      </c>
    </row>
    <row r="268" spans="2:9" x14ac:dyDescent="0.25">
      <c r="B268" s="24">
        <v>43755</v>
      </c>
      <c r="C268" s="23" t="s">
        <v>95</v>
      </c>
      <c r="D268" s="23" t="s">
        <v>96</v>
      </c>
      <c r="E268" s="25">
        <v>3090</v>
      </c>
      <c r="F268" s="23" t="s">
        <v>99</v>
      </c>
      <c r="G268" s="23" t="s">
        <v>112</v>
      </c>
      <c r="H268" s="23">
        <v>160</v>
      </c>
      <c r="I268" s="26">
        <v>348.8</v>
      </c>
    </row>
    <row r="269" spans="2:9" x14ac:dyDescent="0.25">
      <c r="B269" s="24">
        <v>43756</v>
      </c>
      <c r="C269" s="23" t="s">
        <v>106</v>
      </c>
      <c r="D269" s="23" t="s">
        <v>108</v>
      </c>
      <c r="E269" s="25">
        <v>3659</v>
      </c>
      <c r="F269" s="23" t="s">
        <v>99</v>
      </c>
      <c r="G269" s="23" t="s">
        <v>102</v>
      </c>
      <c r="H269" s="23">
        <v>74</v>
      </c>
      <c r="I269" s="26">
        <v>210.16</v>
      </c>
    </row>
    <row r="270" spans="2:9" x14ac:dyDescent="0.25">
      <c r="B270" s="24">
        <v>43759</v>
      </c>
      <c r="C270" s="23" t="s">
        <v>95</v>
      </c>
      <c r="D270" s="23" t="s">
        <v>101</v>
      </c>
      <c r="E270" s="25">
        <v>3000</v>
      </c>
      <c r="F270" s="23" t="s">
        <v>104</v>
      </c>
      <c r="G270" s="23" t="s">
        <v>113</v>
      </c>
      <c r="H270" s="23">
        <v>27</v>
      </c>
      <c r="I270" s="26">
        <v>50.49</v>
      </c>
    </row>
    <row r="271" spans="2:9" x14ac:dyDescent="0.25">
      <c r="B271" s="24">
        <v>43760</v>
      </c>
      <c r="C271" s="23" t="s">
        <v>106</v>
      </c>
      <c r="D271" s="23" t="s">
        <v>107</v>
      </c>
      <c r="E271" s="25">
        <v>3062</v>
      </c>
      <c r="F271" s="23" t="s">
        <v>97</v>
      </c>
      <c r="G271" s="23" t="s">
        <v>98</v>
      </c>
      <c r="H271" s="23">
        <v>28</v>
      </c>
      <c r="I271" s="26">
        <v>47.04</v>
      </c>
    </row>
    <row r="272" spans="2:9" x14ac:dyDescent="0.25">
      <c r="B272" s="24">
        <v>43761</v>
      </c>
      <c r="C272" s="23" t="s">
        <v>95</v>
      </c>
      <c r="D272" s="23" t="s">
        <v>103</v>
      </c>
      <c r="E272" s="25">
        <v>3082</v>
      </c>
      <c r="F272" s="23" t="s">
        <v>97</v>
      </c>
      <c r="G272" s="23" t="s">
        <v>98</v>
      </c>
      <c r="H272" s="23">
        <v>26</v>
      </c>
      <c r="I272" s="26">
        <v>43.68</v>
      </c>
    </row>
    <row r="273" spans="2:9" x14ac:dyDescent="0.25">
      <c r="B273" s="24">
        <v>43762</v>
      </c>
      <c r="C273" s="23" t="s">
        <v>95</v>
      </c>
      <c r="D273" s="23" t="s">
        <v>96</v>
      </c>
      <c r="E273" s="25">
        <v>3090</v>
      </c>
      <c r="F273" s="23" t="s">
        <v>104</v>
      </c>
      <c r="G273" s="23" t="s">
        <v>105</v>
      </c>
      <c r="H273" s="23">
        <v>37</v>
      </c>
      <c r="I273" s="26">
        <v>65.489999999999995</v>
      </c>
    </row>
    <row r="274" spans="2:9" x14ac:dyDescent="0.25">
      <c r="B274" s="24">
        <v>43763</v>
      </c>
      <c r="C274" s="23" t="s">
        <v>95</v>
      </c>
      <c r="D274" s="23" t="s">
        <v>96</v>
      </c>
      <c r="E274" s="25">
        <v>3090</v>
      </c>
      <c r="F274" s="23" t="s">
        <v>104</v>
      </c>
      <c r="G274" s="23" t="s">
        <v>105</v>
      </c>
      <c r="H274" s="23">
        <v>72</v>
      </c>
      <c r="I274" s="26">
        <v>127.44</v>
      </c>
    </row>
    <row r="275" spans="2:9" x14ac:dyDescent="0.25">
      <c r="B275" s="24">
        <v>43766</v>
      </c>
      <c r="C275" s="23" t="s">
        <v>95</v>
      </c>
      <c r="D275" s="23" t="s">
        <v>101</v>
      </c>
      <c r="E275" s="25">
        <v>3000</v>
      </c>
      <c r="F275" s="23" t="s">
        <v>104</v>
      </c>
      <c r="G275" s="23" t="s">
        <v>105</v>
      </c>
      <c r="H275" s="23">
        <v>31</v>
      </c>
      <c r="I275" s="26">
        <v>54.87</v>
      </c>
    </row>
    <row r="276" spans="2:9" x14ac:dyDescent="0.25">
      <c r="B276" s="24">
        <v>43767</v>
      </c>
      <c r="C276" s="23" t="s">
        <v>106</v>
      </c>
      <c r="D276" s="23" t="s">
        <v>107</v>
      </c>
      <c r="E276" s="25">
        <v>3062</v>
      </c>
      <c r="F276" s="23" t="s">
        <v>104</v>
      </c>
      <c r="G276" s="23" t="s">
        <v>113</v>
      </c>
      <c r="H276" s="23">
        <v>46</v>
      </c>
      <c r="I276" s="26">
        <v>86.02</v>
      </c>
    </row>
    <row r="277" spans="2:9" x14ac:dyDescent="0.25">
      <c r="B277" s="24">
        <v>43768</v>
      </c>
      <c r="C277" s="23" t="s">
        <v>95</v>
      </c>
      <c r="D277" s="23" t="s">
        <v>96</v>
      </c>
      <c r="E277" s="25">
        <v>3036</v>
      </c>
      <c r="F277" s="23" t="s">
        <v>104</v>
      </c>
      <c r="G277" s="23" t="s">
        <v>105</v>
      </c>
      <c r="H277" s="23">
        <v>22</v>
      </c>
      <c r="I277" s="26">
        <v>38.94</v>
      </c>
    </row>
    <row r="278" spans="2:9" x14ac:dyDescent="0.25">
      <c r="B278" s="24">
        <v>43769</v>
      </c>
      <c r="C278" s="23" t="s">
        <v>95</v>
      </c>
      <c r="D278" s="23" t="s">
        <v>103</v>
      </c>
      <c r="E278" s="25">
        <v>3082</v>
      </c>
      <c r="F278" s="23" t="s">
        <v>104</v>
      </c>
      <c r="G278" s="23" t="s">
        <v>105</v>
      </c>
      <c r="H278" s="23">
        <v>126</v>
      </c>
      <c r="I278" s="26">
        <v>223.02</v>
      </c>
    </row>
    <row r="279" spans="2:9" x14ac:dyDescent="0.25">
      <c r="B279" s="24">
        <v>43770</v>
      </c>
      <c r="C279" s="23" t="s">
        <v>95</v>
      </c>
      <c r="D279" s="23" t="s">
        <v>96</v>
      </c>
      <c r="E279" s="25">
        <v>3090</v>
      </c>
      <c r="F279" s="23" t="s">
        <v>97</v>
      </c>
      <c r="G279" s="23" t="s">
        <v>98</v>
      </c>
      <c r="H279" s="23">
        <v>29</v>
      </c>
      <c r="I279" s="26">
        <v>48.72</v>
      </c>
    </row>
    <row r="280" spans="2:9" x14ac:dyDescent="0.25">
      <c r="B280" s="24">
        <v>43773</v>
      </c>
      <c r="C280" s="23" t="s">
        <v>95</v>
      </c>
      <c r="D280" s="23" t="s">
        <v>103</v>
      </c>
      <c r="E280" s="25">
        <v>3082</v>
      </c>
      <c r="F280" s="23" t="s">
        <v>99</v>
      </c>
      <c r="G280" s="23" t="s">
        <v>112</v>
      </c>
      <c r="H280" s="23">
        <v>177</v>
      </c>
      <c r="I280" s="26">
        <v>385.86</v>
      </c>
    </row>
    <row r="281" spans="2:9" x14ac:dyDescent="0.25">
      <c r="B281" s="24">
        <v>43774</v>
      </c>
      <c r="C281" s="23" t="s">
        <v>95</v>
      </c>
      <c r="D281" s="23" t="s">
        <v>103</v>
      </c>
      <c r="E281" s="25">
        <v>3082</v>
      </c>
      <c r="F281" s="23" t="s">
        <v>99</v>
      </c>
      <c r="G281" s="23" t="s">
        <v>102</v>
      </c>
      <c r="H281" s="23">
        <v>86</v>
      </c>
      <c r="I281" s="26">
        <v>244.24</v>
      </c>
    </row>
    <row r="282" spans="2:9" x14ac:dyDescent="0.25">
      <c r="B282" s="24">
        <v>43775</v>
      </c>
      <c r="C282" s="23" t="s">
        <v>106</v>
      </c>
      <c r="D282" s="23" t="s">
        <v>108</v>
      </c>
      <c r="E282" s="25">
        <v>3659</v>
      </c>
      <c r="F282" s="23" t="s">
        <v>104</v>
      </c>
      <c r="G282" s="23" t="s">
        <v>105</v>
      </c>
      <c r="H282" s="23">
        <v>31</v>
      </c>
      <c r="I282" s="26">
        <v>54.87</v>
      </c>
    </row>
    <row r="283" spans="2:9" x14ac:dyDescent="0.25">
      <c r="B283" s="24">
        <v>43776</v>
      </c>
      <c r="C283" s="23" t="s">
        <v>95</v>
      </c>
      <c r="D283" s="23" t="s">
        <v>96</v>
      </c>
      <c r="E283" s="25">
        <v>3090</v>
      </c>
      <c r="F283" s="23" t="s">
        <v>104</v>
      </c>
      <c r="G283" s="23" t="s">
        <v>105</v>
      </c>
      <c r="H283" s="23">
        <v>25</v>
      </c>
      <c r="I283" s="26">
        <v>44.25</v>
      </c>
    </row>
    <row r="284" spans="2:9" x14ac:dyDescent="0.25">
      <c r="B284" s="24">
        <v>43777</v>
      </c>
      <c r="C284" s="23" t="s">
        <v>106</v>
      </c>
      <c r="D284" s="23" t="s">
        <v>107</v>
      </c>
      <c r="E284" s="25">
        <v>3062</v>
      </c>
      <c r="F284" s="23" t="s">
        <v>97</v>
      </c>
      <c r="G284" s="23" t="s">
        <v>98</v>
      </c>
      <c r="H284" s="23">
        <v>37</v>
      </c>
      <c r="I284" s="26">
        <v>62.16</v>
      </c>
    </row>
    <row r="285" spans="2:9" x14ac:dyDescent="0.25">
      <c r="B285" s="24">
        <v>43780</v>
      </c>
      <c r="C285" s="23" t="s">
        <v>95</v>
      </c>
      <c r="D285" s="23" t="s">
        <v>96</v>
      </c>
      <c r="E285" s="25">
        <v>3090</v>
      </c>
      <c r="F285" s="23" t="s">
        <v>99</v>
      </c>
      <c r="G285" s="23" t="s">
        <v>112</v>
      </c>
      <c r="H285" s="23">
        <v>35</v>
      </c>
      <c r="I285" s="26">
        <v>76.3</v>
      </c>
    </row>
    <row r="286" spans="2:9" x14ac:dyDescent="0.25">
      <c r="B286" s="24">
        <v>43781</v>
      </c>
      <c r="C286" s="23" t="s">
        <v>106</v>
      </c>
      <c r="D286" s="23" t="s">
        <v>108</v>
      </c>
      <c r="E286" s="25">
        <v>3659</v>
      </c>
      <c r="F286" s="23" t="s">
        <v>99</v>
      </c>
      <c r="G286" s="23" t="s">
        <v>100</v>
      </c>
      <c r="H286" s="23">
        <v>37</v>
      </c>
      <c r="I286" s="26">
        <v>69.19</v>
      </c>
    </row>
    <row r="287" spans="2:9" x14ac:dyDescent="0.25">
      <c r="B287" s="24">
        <v>43782</v>
      </c>
      <c r="C287" s="23" t="s">
        <v>95</v>
      </c>
      <c r="D287" s="23" t="s">
        <v>103</v>
      </c>
      <c r="E287" s="25">
        <v>3082</v>
      </c>
      <c r="F287" s="23" t="s">
        <v>104</v>
      </c>
      <c r="G287" s="23" t="s">
        <v>105</v>
      </c>
      <c r="H287" s="23">
        <v>102</v>
      </c>
      <c r="I287" s="26">
        <v>180.54</v>
      </c>
    </row>
    <row r="288" spans="2:9" x14ac:dyDescent="0.25">
      <c r="B288" s="24">
        <v>43783</v>
      </c>
      <c r="C288" s="23" t="s">
        <v>95</v>
      </c>
      <c r="D288" s="23" t="s">
        <v>103</v>
      </c>
      <c r="E288" s="25">
        <v>3082</v>
      </c>
      <c r="F288" s="23" t="s">
        <v>104</v>
      </c>
      <c r="G288" s="23" t="s">
        <v>113</v>
      </c>
      <c r="H288" s="23">
        <v>49</v>
      </c>
      <c r="I288" s="26">
        <v>91.63</v>
      </c>
    </row>
    <row r="289" spans="2:9" x14ac:dyDescent="0.25">
      <c r="B289" s="24">
        <v>43784</v>
      </c>
      <c r="C289" s="23" t="s">
        <v>95</v>
      </c>
      <c r="D289" s="23" t="s">
        <v>103</v>
      </c>
      <c r="E289" s="25">
        <v>3082</v>
      </c>
      <c r="F289" s="23" t="s">
        <v>109</v>
      </c>
      <c r="G289" s="23" t="s">
        <v>110</v>
      </c>
      <c r="H289" s="23">
        <v>25</v>
      </c>
      <c r="I289" s="26">
        <v>87.25</v>
      </c>
    </row>
    <row r="290" spans="2:9" x14ac:dyDescent="0.25">
      <c r="B290" s="24">
        <v>43787</v>
      </c>
      <c r="C290" s="23" t="s">
        <v>95</v>
      </c>
      <c r="D290" s="23" t="s">
        <v>101</v>
      </c>
      <c r="E290" s="25">
        <v>3000</v>
      </c>
      <c r="F290" s="23" t="s">
        <v>104</v>
      </c>
      <c r="G290" s="23" t="s">
        <v>113</v>
      </c>
      <c r="H290" s="23">
        <v>45</v>
      </c>
      <c r="I290" s="26">
        <v>84.15</v>
      </c>
    </row>
    <row r="291" spans="2:9" x14ac:dyDescent="0.25">
      <c r="B291" s="24">
        <v>43788</v>
      </c>
      <c r="C291" s="23" t="s">
        <v>95</v>
      </c>
      <c r="D291" s="23" t="s">
        <v>103</v>
      </c>
      <c r="E291" s="25">
        <v>3082</v>
      </c>
      <c r="F291" s="23" t="s">
        <v>104</v>
      </c>
      <c r="G291" s="23" t="s">
        <v>10</v>
      </c>
      <c r="H291" s="23">
        <v>20</v>
      </c>
      <c r="I291" s="26">
        <v>45.4</v>
      </c>
    </row>
    <row r="292" spans="2:9" x14ac:dyDescent="0.25">
      <c r="B292" s="24">
        <v>43789</v>
      </c>
      <c r="C292" s="23" t="s">
        <v>95</v>
      </c>
      <c r="D292" s="23" t="s">
        <v>96</v>
      </c>
      <c r="E292" s="25">
        <v>3090</v>
      </c>
      <c r="F292" s="23" t="s">
        <v>104</v>
      </c>
      <c r="G292" s="23" t="s">
        <v>105</v>
      </c>
      <c r="H292" s="23">
        <v>84</v>
      </c>
      <c r="I292" s="26">
        <v>148.68</v>
      </c>
    </row>
    <row r="293" spans="2:9" x14ac:dyDescent="0.25">
      <c r="B293" s="24">
        <v>43790</v>
      </c>
      <c r="C293" s="23" t="s">
        <v>106</v>
      </c>
      <c r="D293" s="23" t="s">
        <v>108</v>
      </c>
      <c r="E293" s="25">
        <v>3659</v>
      </c>
      <c r="F293" s="23" t="s">
        <v>99</v>
      </c>
      <c r="G293" s="23" t="s">
        <v>102</v>
      </c>
      <c r="H293" s="23">
        <v>44</v>
      </c>
      <c r="I293" s="26">
        <v>124.96</v>
      </c>
    </row>
    <row r="294" spans="2:9" x14ac:dyDescent="0.25">
      <c r="B294" s="24">
        <v>43791</v>
      </c>
      <c r="C294" s="23" t="s">
        <v>95</v>
      </c>
      <c r="D294" s="23" t="s">
        <v>101</v>
      </c>
      <c r="E294" s="25">
        <v>3000</v>
      </c>
      <c r="F294" s="23" t="s">
        <v>99</v>
      </c>
      <c r="G294" s="23" t="s">
        <v>102</v>
      </c>
      <c r="H294" s="23">
        <v>137</v>
      </c>
      <c r="I294" s="26">
        <v>389.08</v>
      </c>
    </row>
    <row r="295" spans="2:9" x14ac:dyDescent="0.25">
      <c r="B295" s="24">
        <v>43794</v>
      </c>
      <c r="C295" s="23" t="s">
        <v>95</v>
      </c>
      <c r="D295" s="23" t="s">
        <v>101</v>
      </c>
      <c r="E295" s="25">
        <v>3000</v>
      </c>
      <c r="F295" s="23" t="s">
        <v>109</v>
      </c>
      <c r="G295" s="23" t="s">
        <v>110</v>
      </c>
      <c r="H295" s="23">
        <v>23</v>
      </c>
      <c r="I295" s="26">
        <v>80.27</v>
      </c>
    </row>
    <row r="296" spans="2:9" x14ac:dyDescent="0.25">
      <c r="B296" s="24">
        <v>43795</v>
      </c>
      <c r="C296" s="23" t="s">
        <v>95</v>
      </c>
      <c r="D296" s="23" t="s">
        <v>101</v>
      </c>
      <c r="E296" s="25">
        <v>3000</v>
      </c>
      <c r="F296" s="23" t="s">
        <v>104</v>
      </c>
      <c r="G296" s="23" t="s">
        <v>113</v>
      </c>
      <c r="H296" s="23">
        <v>27</v>
      </c>
      <c r="I296" s="26">
        <v>50.49</v>
      </c>
    </row>
    <row r="297" spans="2:9" x14ac:dyDescent="0.25">
      <c r="B297" s="24">
        <v>43796</v>
      </c>
      <c r="C297" s="23" t="s">
        <v>95</v>
      </c>
      <c r="D297" s="23" t="s">
        <v>101</v>
      </c>
      <c r="E297" s="25">
        <v>3000</v>
      </c>
      <c r="F297" s="23" t="s">
        <v>109</v>
      </c>
      <c r="G297" s="23" t="s">
        <v>110</v>
      </c>
      <c r="H297" s="23">
        <v>26</v>
      </c>
      <c r="I297" s="26">
        <v>90.74</v>
      </c>
    </row>
    <row r="298" spans="2:9" x14ac:dyDescent="0.25">
      <c r="B298" s="24">
        <v>43797</v>
      </c>
      <c r="C298" s="23" t="s">
        <v>95</v>
      </c>
      <c r="D298" s="23" t="s">
        <v>96</v>
      </c>
      <c r="E298" s="25">
        <v>3090</v>
      </c>
      <c r="F298" s="23" t="s">
        <v>104</v>
      </c>
      <c r="G298" s="23" t="s">
        <v>105</v>
      </c>
      <c r="H298" s="23">
        <v>90</v>
      </c>
      <c r="I298" s="26">
        <v>159.30000000000001</v>
      </c>
    </row>
    <row r="299" spans="2:9" x14ac:dyDescent="0.25">
      <c r="B299" s="24">
        <v>43798</v>
      </c>
      <c r="C299" s="23" t="s">
        <v>95</v>
      </c>
      <c r="D299" s="23" t="s">
        <v>96</v>
      </c>
      <c r="E299" s="25">
        <v>3090</v>
      </c>
      <c r="F299" s="23" t="s">
        <v>97</v>
      </c>
      <c r="G299" s="23" t="s">
        <v>98</v>
      </c>
      <c r="H299" s="23">
        <v>23</v>
      </c>
      <c r="I299" s="26">
        <v>38.64</v>
      </c>
    </row>
    <row r="300" spans="2:9" x14ac:dyDescent="0.25">
      <c r="B300" s="24">
        <v>43801</v>
      </c>
      <c r="C300" s="23" t="s">
        <v>95</v>
      </c>
      <c r="D300" s="23" t="s">
        <v>101</v>
      </c>
      <c r="E300" s="25">
        <v>3000</v>
      </c>
      <c r="F300" s="23" t="s">
        <v>99</v>
      </c>
      <c r="G300" s="23" t="s">
        <v>112</v>
      </c>
      <c r="H300" s="23">
        <v>23</v>
      </c>
      <c r="I300" s="26">
        <v>50.14</v>
      </c>
    </row>
    <row r="301" spans="2:9" x14ac:dyDescent="0.25">
      <c r="B301" s="24">
        <v>43802</v>
      </c>
      <c r="C301" s="23" t="s">
        <v>95</v>
      </c>
      <c r="D301" s="23" t="s">
        <v>96</v>
      </c>
      <c r="E301" s="25">
        <v>3090</v>
      </c>
      <c r="F301" s="23" t="s">
        <v>99</v>
      </c>
      <c r="G301" s="23" t="s">
        <v>100</v>
      </c>
      <c r="H301" s="23">
        <v>44</v>
      </c>
      <c r="I301" s="26">
        <v>82.28</v>
      </c>
    </row>
    <row r="302" spans="2:9" x14ac:dyDescent="0.25">
      <c r="B302" s="24">
        <v>43803</v>
      </c>
      <c r="C302" s="23" t="s">
        <v>106</v>
      </c>
      <c r="D302" s="23" t="s">
        <v>107</v>
      </c>
      <c r="E302" s="25">
        <v>3062</v>
      </c>
      <c r="F302" s="23" t="s">
        <v>104</v>
      </c>
      <c r="G302" s="23" t="s">
        <v>113</v>
      </c>
      <c r="H302" s="23">
        <v>39</v>
      </c>
      <c r="I302" s="26">
        <v>72.930000000000007</v>
      </c>
    </row>
    <row r="303" spans="2:9" x14ac:dyDescent="0.25">
      <c r="B303" s="24">
        <v>43804</v>
      </c>
      <c r="C303" s="23" t="s">
        <v>106</v>
      </c>
      <c r="D303" s="23" t="s">
        <v>107</v>
      </c>
      <c r="E303" s="25">
        <v>3062</v>
      </c>
      <c r="F303" s="23" t="s">
        <v>104</v>
      </c>
      <c r="G303" s="23" t="s">
        <v>105</v>
      </c>
      <c r="H303" s="23">
        <v>35</v>
      </c>
      <c r="I303" s="26">
        <v>61.95</v>
      </c>
    </row>
    <row r="304" spans="2:9" x14ac:dyDescent="0.25">
      <c r="B304" s="24">
        <v>43805</v>
      </c>
      <c r="C304" s="23" t="s">
        <v>95</v>
      </c>
      <c r="D304" s="23" t="s">
        <v>96</v>
      </c>
      <c r="E304" s="25">
        <v>3036</v>
      </c>
      <c r="F304" s="23" t="s">
        <v>104</v>
      </c>
      <c r="G304" s="23" t="s">
        <v>113</v>
      </c>
      <c r="H304" s="23">
        <v>20</v>
      </c>
      <c r="I304" s="26">
        <v>37.4</v>
      </c>
    </row>
    <row r="305" spans="2:9" x14ac:dyDescent="0.25">
      <c r="B305" s="24">
        <v>43808</v>
      </c>
      <c r="C305" s="23" t="s">
        <v>95</v>
      </c>
      <c r="D305" s="23" t="s">
        <v>96</v>
      </c>
      <c r="E305" s="25">
        <v>3036</v>
      </c>
      <c r="F305" s="23" t="s">
        <v>99</v>
      </c>
      <c r="G305" s="23" t="s">
        <v>102</v>
      </c>
      <c r="H305" s="23">
        <v>23</v>
      </c>
      <c r="I305" s="26">
        <v>65.319999999999993</v>
      </c>
    </row>
    <row r="306" spans="2:9" x14ac:dyDescent="0.25">
      <c r="B306" s="24">
        <v>43809</v>
      </c>
      <c r="C306" s="23" t="s">
        <v>95</v>
      </c>
      <c r="D306" s="23" t="s">
        <v>101</v>
      </c>
      <c r="E306" s="25">
        <v>3000</v>
      </c>
      <c r="F306" s="23" t="s">
        <v>99</v>
      </c>
      <c r="G306" s="23" t="s">
        <v>100</v>
      </c>
      <c r="H306" s="23">
        <v>38</v>
      </c>
      <c r="I306" s="26">
        <v>71.06</v>
      </c>
    </row>
    <row r="307" spans="2:9" x14ac:dyDescent="0.25">
      <c r="B307" s="24">
        <v>43810</v>
      </c>
      <c r="C307" s="23" t="s">
        <v>106</v>
      </c>
      <c r="D307" s="23" t="s">
        <v>108</v>
      </c>
      <c r="E307" s="25">
        <v>3659</v>
      </c>
      <c r="F307" s="23" t="s">
        <v>99</v>
      </c>
      <c r="G307" s="23" t="s">
        <v>100</v>
      </c>
      <c r="H307" s="23">
        <v>30</v>
      </c>
      <c r="I307" s="26">
        <v>56.1</v>
      </c>
    </row>
    <row r="308" spans="2:9" x14ac:dyDescent="0.25">
      <c r="B308" s="24">
        <v>43811</v>
      </c>
      <c r="C308" s="23" t="s">
        <v>106</v>
      </c>
      <c r="D308" s="23" t="s">
        <v>107</v>
      </c>
      <c r="E308" s="25">
        <v>3062</v>
      </c>
      <c r="F308" s="23" t="s">
        <v>104</v>
      </c>
      <c r="G308" s="23" t="s">
        <v>105</v>
      </c>
      <c r="H308" s="23">
        <v>48</v>
      </c>
      <c r="I308" s="26">
        <v>84.96</v>
      </c>
    </row>
    <row r="309" spans="2:9" x14ac:dyDescent="0.25">
      <c r="B309" s="24">
        <v>43812</v>
      </c>
      <c r="C309" s="23" t="s">
        <v>95</v>
      </c>
      <c r="D309" s="23" t="s">
        <v>101</v>
      </c>
      <c r="E309" s="25">
        <v>3000</v>
      </c>
      <c r="F309" s="23" t="s">
        <v>109</v>
      </c>
      <c r="G309" s="23" t="s">
        <v>110</v>
      </c>
      <c r="H309" s="23">
        <v>34</v>
      </c>
      <c r="I309" s="26">
        <v>118.66</v>
      </c>
    </row>
    <row r="310" spans="2:9" x14ac:dyDescent="0.25">
      <c r="B310" s="24">
        <v>43815</v>
      </c>
      <c r="C310" s="23" t="s">
        <v>95</v>
      </c>
      <c r="D310" s="23" t="s">
        <v>103</v>
      </c>
      <c r="E310" s="25">
        <v>3082</v>
      </c>
      <c r="F310" s="23" t="s">
        <v>104</v>
      </c>
      <c r="G310" s="23" t="s">
        <v>113</v>
      </c>
      <c r="H310" s="23">
        <v>35</v>
      </c>
      <c r="I310" s="26">
        <v>65.45</v>
      </c>
    </row>
    <row r="311" spans="2:9" x14ac:dyDescent="0.25">
      <c r="B311" s="24">
        <v>43816</v>
      </c>
      <c r="C311" s="23" t="s">
        <v>95</v>
      </c>
      <c r="D311" s="23" t="s">
        <v>101</v>
      </c>
      <c r="E311" s="25">
        <v>3000</v>
      </c>
      <c r="F311" s="23" t="s">
        <v>104</v>
      </c>
      <c r="G311" s="23" t="s">
        <v>105</v>
      </c>
      <c r="H311" s="23">
        <v>39</v>
      </c>
      <c r="I311" s="26">
        <v>69.03</v>
      </c>
    </row>
    <row r="312" spans="2:9" x14ac:dyDescent="0.25">
      <c r="B312" s="24">
        <v>43817</v>
      </c>
      <c r="C312" s="23" t="s">
        <v>106</v>
      </c>
      <c r="D312" s="23" t="s">
        <v>107</v>
      </c>
      <c r="E312" s="25">
        <v>3062</v>
      </c>
      <c r="F312" s="23" t="s">
        <v>104</v>
      </c>
      <c r="G312" s="23" t="s">
        <v>105</v>
      </c>
      <c r="H312" s="23">
        <v>69</v>
      </c>
      <c r="I312" s="26">
        <v>122.13</v>
      </c>
    </row>
    <row r="313" spans="2:9" x14ac:dyDescent="0.25">
      <c r="B313" s="24">
        <v>43818</v>
      </c>
      <c r="C313" s="23" t="s">
        <v>95</v>
      </c>
      <c r="D313" s="23" t="s">
        <v>101</v>
      </c>
      <c r="E313" s="25">
        <v>3000</v>
      </c>
      <c r="F313" s="23" t="s">
        <v>109</v>
      </c>
      <c r="G313" s="23" t="s">
        <v>110</v>
      </c>
      <c r="H313" s="23">
        <v>47</v>
      </c>
      <c r="I313" s="26">
        <v>164.03</v>
      </c>
    </row>
    <row r="314" spans="2:9" x14ac:dyDescent="0.25">
      <c r="B314" s="24">
        <v>43819</v>
      </c>
      <c r="C314" s="23" t="s">
        <v>95</v>
      </c>
      <c r="D314" s="23" t="s">
        <v>96</v>
      </c>
      <c r="E314" s="25">
        <v>3090</v>
      </c>
      <c r="F314" s="23" t="s">
        <v>99</v>
      </c>
      <c r="G314" s="23" t="s">
        <v>102</v>
      </c>
      <c r="H314" s="23">
        <v>48</v>
      </c>
      <c r="I314" s="26">
        <v>136.32</v>
      </c>
    </row>
    <row r="315" spans="2:9" x14ac:dyDescent="0.25">
      <c r="B315" s="24">
        <v>43822</v>
      </c>
      <c r="C315" s="23" t="s">
        <v>95</v>
      </c>
      <c r="D315" s="23" t="s">
        <v>101</v>
      </c>
      <c r="E315" s="25">
        <v>3000</v>
      </c>
      <c r="F315" s="23" t="s">
        <v>104</v>
      </c>
      <c r="G315" s="23" t="s">
        <v>10</v>
      </c>
      <c r="H315" s="23">
        <v>27</v>
      </c>
      <c r="I315" s="26">
        <v>61.29</v>
      </c>
    </row>
    <row r="316" spans="2:9" x14ac:dyDescent="0.25">
      <c r="B316" s="24">
        <v>43823</v>
      </c>
      <c r="C316" s="23" t="s">
        <v>95</v>
      </c>
      <c r="D316" s="23" t="s">
        <v>101</v>
      </c>
      <c r="E316" s="25">
        <v>3000</v>
      </c>
      <c r="F316" s="23" t="s">
        <v>99</v>
      </c>
      <c r="G316" s="23" t="s">
        <v>102</v>
      </c>
      <c r="H316" s="23">
        <v>150</v>
      </c>
      <c r="I316" s="26">
        <v>426</v>
      </c>
    </row>
    <row r="317" spans="2:9" x14ac:dyDescent="0.25">
      <c r="B317" s="24">
        <v>43824</v>
      </c>
      <c r="C317" s="23" t="s">
        <v>95</v>
      </c>
      <c r="D317" s="23" t="s">
        <v>96</v>
      </c>
      <c r="E317" s="25">
        <v>3090</v>
      </c>
      <c r="F317" s="23" t="s">
        <v>99</v>
      </c>
      <c r="G317" s="23" t="s">
        <v>112</v>
      </c>
      <c r="H317" s="23">
        <v>37</v>
      </c>
      <c r="I317" s="26">
        <v>80.66</v>
      </c>
    </row>
    <row r="318" spans="2:9" x14ac:dyDescent="0.25">
      <c r="B318" s="24">
        <v>43825</v>
      </c>
      <c r="C318" s="23" t="s">
        <v>106</v>
      </c>
      <c r="D318" s="23" t="s">
        <v>108</v>
      </c>
      <c r="E318" s="25">
        <v>3659</v>
      </c>
      <c r="F318" s="23" t="s">
        <v>104</v>
      </c>
      <c r="G318" s="23" t="s">
        <v>105</v>
      </c>
      <c r="H318" s="23">
        <v>38</v>
      </c>
      <c r="I318" s="26">
        <v>67.260000000000005</v>
      </c>
    </row>
    <row r="319" spans="2:9" x14ac:dyDescent="0.25">
      <c r="B319" s="24">
        <v>43826</v>
      </c>
      <c r="C319" s="23" t="s">
        <v>106</v>
      </c>
      <c r="D319" s="23" t="s">
        <v>107</v>
      </c>
      <c r="E319" s="25">
        <v>3062</v>
      </c>
      <c r="F319" s="23" t="s">
        <v>99</v>
      </c>
      <c r="G319" s="23" t="s">
        <v>112</v>
      </c>
      <c r="H319" s="23">
        <v>30</v>
      </c>
      <c r="I319" s="26">
        <v>65.400000000000006</v>
      </c>
    </row>
    <row r="320" spans="2:9" x14ac:dyDescent="0.25">
      <c r="B320" s="24">
        <v>43829</v>
      </c>
      <c r="C320" s="23" t="s">
        <v>106</v>
      </c>
      <c r="D320" s="23" t="s">
        <v>107</v>
      </c>
      <c r="E320" s="25">
        <v>3062</v>
      </c>
      <c r="F320" s="23" t="s">
        <v>99</v>
      </c>
      <c r="G320" s="23" t="s">
        <v>100</v>
      </c>
      <c r="H320" s="23">
        <v>64</v>
      </c>
      <c r="I320" s="26">
        <v>119.68</v>
      </c>
    </row>
    <row r="321" spans="2:9" x14ac:dyDescent="0.25">
      <c r="B321" s="24">
        <v>43830</v>
      </c>
      <c r="C321" s="23" t="s">
        <v>106</v>
      </c>
      <c r="D321" s="23" t="s">
        <v>107</v>
      </c>
      <c r="E321" s="25">
        <v>3062</v>
      </c>
      <c r="F321" s="23" t="s">
        <v>99</v>
      </c>
      <c r="G321" s="23" t="s">
        <v>102</v>
      </c>
      <c r="H321" s="23">
        <v>62</v>
      </c>
      <c r="I321" s="26">
        <v>176.08</v>
      </c>
    </row>
    <row r="322" spans="2:9" x14ac:dyDescent="0.25">
      <c r="B322" s="24">
        <v>43831</v>
      </c>
      <c r="C322" s="23" t="s">
        <v>106</v>
      </c>
      <c r="D322" s="23" t="s">
        <v>107</v>
      </c>
      <c r="E322" s="25">
        <v>3062</v>
      </c>
      <c r="F322" s="23" t="s">
        <v>104</v>
      </c>
      <c r="G322" s="23" t="s">
        <v>105</v>
      </c>
      <c r="H322" s="23">
        <v>83</v>
      </c>
      <c r="I322" s="26">
        <v>146.91</v>
      </c>
    </row>
    <row r="323" spans="2:9" x14ac:dyDescent="0.25">
      <c r="B323" s="24">
        <v>43831</v>
      </c>
      <c r="C323" s="23" t="s">
        <v>95</v>
      </c>
      <c r="D323" s="23" t="s">
        <v>96</v>
      </c>
      <c r="E323" s="25">
        <v>3036</v>
      </c>
      <c r="F323" s="23" t="s">
        <v>104</v>
      </c>
      <c r="G323" s="23" t="s">
        <v>105</v>
      </c>
      <c r="H323" s="23">
        <v>42</v>
      </c>
      <c r="I323" s="26">
        <v>74.34</v>
      </c>
    </row>
    <row r="324" spans="2:9" x14ac:dyDescent="0.25">
      <c r="B324" s="24">
        <v>43832</v>
      </c>
      <c r="C324" s="23" t="s">
        <v>106</v>
      </c>
      <c r="D324" s="23" t="s">
        <v>108</v>
      </c>
      <c r="E324" s="25">
        <v>3659</v>
      </c>
      <c r="F324" s="23" t="s">
        <v>99</v>
      </c>
      <c r="G324" s="23" t="s">
        <v>100</v>
      </c>
      <c r="H324" s="23">
        <v>23</v>
      </c>
      <c r="I324" s="26">
        <v>43.01</v>
      </c>
    </row>
    <row r="325" spans="2:9" x14ac:dyDescent="0.25">
      <c r="B325" s="24">
        <v>43832</v>
      </c>
      <c r="C325" s="23" t="s">
        <v>95</v>
      </c>
      <c r="D325" s="23" t="s">
        <v>101</v>
      </c>
      <c r="E325" s="25">
        <v>3000</v>
      </c>
      <c r="F325" s="23" t="s">
        <v>97</v>
      </c>
      <c r="G325" s="23" t="s">
        <v>98</v>
      </c>
      <c r="H325" s="23">
        <v>49</v>
      </c>
      <c r="I325" s="26">
        <v>82.32</v>
      </c>
    </row>
    <row r="326" spans="2:9" x14ac:dyDescent="0.25">
      <c r="B326" s="24">
        <v>43833</v>
      </c>
      <c r="C326" s="23" t="s">
        <v>95</v>
      </c>
      <c r="D326" s="23" t="s">
        <v>103</v>
      </c>
      <c r="E326" s="25">
        <v>3082</v>
      </c>
      <c r="F326" s="23" t="s">
        <v>99</v>
      </c>
      <c r="G326" s="23" t="s">
        <v>100</v>
      </c>
      <c r="H326" s="23">
        <v>74</v>
      </c>
      <c r="I326" s="26">
        <v>138.38</v>
      </c>
    </row>
    <row r="327" spans="2:9" x14ac:dyDescent="0.25">
      <c r="B327" s="24">
        <v>43833</v>
      </c>
      <c r="C327" s="23" t="s">
        <v>95</v>
      </c>
      <c r="D327" s="23" t="s">
        <v>103</v>
      </c>
      <c r="E327" s="25">
        <v>3082</v>
      </c>
      <c r="F327" s="23" t="s">
        <v>104</v>
      </c>
      <c r="G327" s="23" t="s">
        <v>105</v>
      </c>
      <c r="H327" s="23">
        <v>49</v>
      </c>
      <c r="I327" s="26">
        <v>86.73</v>
      </c>
    </row>
    <row r="328" spans="2:9" x14ac:dyDescent="0.25">
      <c r="B328" s="24">
        <v>43836</v>
      </c>
      <c r="C328" s="23" t="s">
        <v>106</v>
      </c>
      <c r="D328" s="23" t="s">
        <v>107</v>
      </c>
      <c r="E328" s="25">
        <v>3062</v>
      </c>
      <c r="F328" s="23" t="s">
        <v>104</v>
      </c>
      <c r="G328" s="23" t="s">
        <v>105</v>
      </c>
      <c r="H328" s="23">
        <v>43</v>
      </c>
      <c r="I328" s="26">
        <v>76.11</v>
      </c>
    </row>
    <row r="329" spans="2:9" x14ac:dyDescent="0.25">
      <c r="B329" s="24">
        <v>43836</v>
      </c>
      <c r="C329" s="23" t="s">
        <v>95</v>
      </c>
      <c r="D329" s="23" t="s">
        <v>96</v>
      </c>
      <c r="E329" s="25">
        <v>3036</v>
      </c>
      <c r="F329" s="23" t="s">
        <v>104</v>
      </c>
      <c r="G329" s="23" t="s">
        <v>113</v>
      </c>
      <c r="H329" s="23">
        <v>23</v>
      </c>
      <c r="I329" s="26">
        <v>43.01</v>
      </c>
    </row>
    <row r="330" spans="2:9" x14ac:dyDescent="0.25">
      <c r="B330" s="24">
        <v>43837</v>
      </c>
      <c r="C330" s="23" t="s">
        <v>95</v>
      </c>
      <c r="D330" s="23" t="s">
        <v>101</v>
      </c>
      <c r="E330" s="25">
        <v>3000</v>
      </c>
      <c r="F330" s="23" t="s">
        <v>104</v>
      </c>
      <c r="G330" s="23" t="s">
        <v>105</v>
      </c>
      <c r="H330" s="23">
        <v>71</v>
      </c>
      <c r="I330" s="26">
        <v>125.67</v>
      </c>
    </row>
    <row r="331" spans="2:9" x14ac:dyDescent="0.25">
      <c r="B331" s="24">
        <v>43837</v>
      </c>
      <c r="C331" s="23" t="s">
        <v>95</v>
      </c>
      <c r="D331" s="23" t="s">
        <v>101</v>
      </c>
      <c r="E331" s="25">
        <v>3000</v>
      </c>
      <c r="F331" s="23" t="s">
        <v>104</v>
      </c>
      <c r="G331" s="23" t="s">
        <v>113</v>
      </c>
      <c r="H331" s="23">
        <v>45</v>
      </c>
      <c r="I331" s="26">
        <v>84.15</v>
      </c>
    </row>
    <row r="332" spans="2:9" x14ac:dyDescent="0.25">
      <c r="B332" s="24">
        <v>43838</v>
      </c>
      <c r="C332" s="23" t="s">
        <v>95</v>
      </c>
      <c r="D332" s="23" t="s">
        <v>103</v>
      </c>
      <c r="E332" s="25">
        <v>3082</v>
      </c>
      <c r="F332" s="23" t="s">
        <v>109</v>
      </c>
      <c r="G332" s="23" t="s">
        <v>110</v>
      </c>
      <c r="H332" s="23">
        <v>20</v>
      </c>
      <c r="I332" s="26">
        <v>69.8</v>
      </c>
    </row>
    <row r="333" spans="2:9" x14ac:dyDescent="0.25">
      <c r="B333" s="24">
        <v>43838</v>
      </c>
      <c r="C333" s="23" t="s">
        <v>95</v>
      </c>
      <c r="D333" s="23" t="s">
        <v>96</v>
      </c>
      <c r="E333" s="25">
        <v>3090</v>
      </c>
      <c r="F333" s="23" t="s">
        <v>104</v>
      </c>
      <c r="G333" s="23" t="s">
        <v>105</v>
      </c>
      <c r="H333" s="23">
        <v>73</v>
      </c>
      <c r="I333" s="26">
        <v>129.21</v>
      </c>
    </row>
    <row r="334" spans="2:9" x14ac:dyDescent="0.25">
      <c r="B334" s="24">
        <v>43839</v>
      </c>
      <c r="C334" s="23" t="s">
        <v>95</v>
      </c>
      <c r="D334" s="23" t="s">
        <v>101</v>
      </c>
      <c r="E334" s="25">
        <v>3000</v>
      </c>
      <c r="F334" s="23" t="s">
        <v>99</v>
      </c>
      <c r="G334" s="23" t="s">
        <v>100</v>
      </c>
      <c r="H334" s="23">
        <v>32</v>
      </c>
      <c r="I334" s="26">
        <v>59.84</v>
      </c>
    </row>
    <row r="335" spans="2:9" x14ac:dyDescent="0.25">
      <c r="B335" s="24">
        <v>43839</v>
      </c>
      <c r="C335" s="23" t="s">
        <v>106</v>
      </c>
      <c r="D335" s="23" t="s">
        <v>108</v>
      </c>
      <c r="E335" s="25">
        <v>3659</v>
      </c>
      <c r="F335" s="23" t="s">
        <v>104</v>
      </c>
      <c r="G335" s="23" t="s">
        <v>113</v>
      </c>
      <c r="H335" s="23">
        <v>31</v>
      </c>
      <c r="I335" s="26">
        <v>57.97</v>
      </c>
    </row>
    <row r="336" spans="2:9" x14ac:dyDescent="0.25">
      <c r="B336" s="24">
        <v>43840</v>
      </c>
      <c r="C336" s="23" t="s">
        <v>95</v>
      </c>
      <c r="D336" s="23" t="s">
        <v>96</v>
      </c>
      <c r="E336" s="25">
        <v>3090</v>
      </c>
      <c r="F336" s="23" t="s">
        <v>104</v>
      </c>
      <c r="G336" s="23" t="s">
        <v>105</v>
      </c>
      <c r="H336" s="23">
        <v>28</v>
      </c>
      <c r="I336" s="26">
        <v>49.56</v>
      </c>
    </row>
    <row r="337" spans="2:9" x14ac:dyDescent="0.25">
      <c r="B337" s="24">
        <v>43840</v>
      </c>
      <c r="C337" s="23" t="s">
        <v>95</v>
      </c>
      <c r="D337" s="23" t="s">
        <v>96</v>
      </c>
      <c r="E337" s="25">
        <v>3090</v>
      </c>
      <c r="F337" s="23" t="s">
        <v>104</v>
      </c>
      <c r="G337" s="23" t="s">
        <v>105</v>
      </c>
      <c r="H337" s="23">
        <v>26</v>
      </c>
      <c r="I337" s="26">
        <v>46.02</v>
      </c>
    </row>
    <row r="338" spans="2:9" x14ac:dyDescent="0.25">
      <c r="B338" s="24">
        <v>43843</v>
      </c>
      <c r="C338" s="23" t="s">
        <v>95</v>
      </c>
      <c r="D338" s="23" t="s">
        <v>96</v>
      </c>
      <c r="E338" s="25">
        <v>3090</v>
      </c>
      <c r="F338" s="23" t="s">
        <v>99</v>
      </c>
      <c r="G338" s="23" t="s">
        <v>100</v>
      </c>
      <c r="H338" s="23">
        <v>33</v>
      </c>
      <c r="I338" s="26">
        <v>61.71</v>
      </c>
    </row>
    <row r="339" spans="2:9" x14ac:dyDescent="0.25">
      <c r="B339" s="24">
        <v>43843</v>
      </c>
      <c r="C339" s="23" t="s">
        <v>95</v>
      </c>
      <c r="D339" s="23" t="s">
        <v>96</v>
      </c>
      <c r="E339" s="25">
        <v>3090</v>
      </c>
      <c r="F339" s="23" t="s">
        <v>97</v>
      </c>
      <c r="G339" s="23" t="s">
        <v>98</v>
      </c>
      <c r="H339" s="23">
        <v>24</v>
      </c>
      <c r="I339" s="26">
        <v>40.32</v>
      </c>
    </row>
    <row r="340" spans="2:9" x14ac:dyDescent="0.25">
      <c r="B340" s="24">
        <v>43844</v>
      </c>
      <c r="C340" s="23" t="s">
        <v>95</v>
      </c>
      <c r="D340" s="23" t="s">
        <v>101</v>
      </c>
      <c r="E340" s="25">
        <v>3000</v>
      </c>
      <c r="F340" s="23" t="s">
        <v>104</v>
      </c>
      <c r="G340" s="23" t="s">
        <v>105</v>
      </c>
      <c r="H340" s="23">
        <v>60</v>
      </c>
      <c r="I340" s="26">
        <v>106.2</v>
      </c>
    </row>
    <row r="341" spans="2:9" x14ac:dyDescent="0.25">
      <c r="B341" s="24">
        <v>43844</v>
      </c>
      <c r="C341" s="23" t="s">
        <v>95</v>
      </c>
      <c r="D341" s="23" t="s">
        <v>103</v>
      </c>
      <c r="E341" s="25">
        <v>3082</v>
      </c>
      <c r="F341" s="23" t="s">
        <v>104</v>
      </c>
      <c r="G341" s="23" t="s">
        <v>105</v>
      </c>
      <c r="H341" s="23">
        <v>107</v>
      </c>
      <c r="I341" s="26">
        <v>189.39</v>
      </c>
    </row>
    <row r="342" spans="2:9" x14ac:dyDescent="0.25">
      <c r="B342" s="24">
        <v>43845</v>
      </c>
      <c r="C342" s="23" t="s">
        <v>95</v>
      </c>
      <c r="D342" s="23" t="s">
        <v>103</v>
      </c>
      <c r="E342" s="25">
        <v>3082</v>
      </c>
      <c r="F342" s="23" t="s">
        <v>99</v>
      </c>
      <c r="G342" s="23" t="s">
        <v>100</v>
      </c>
      <c r="H342" s="23">
        <v>57</v>
      </c>
      <c r="I342" s="26">
        <v>106.59</v>
      </c>
    </row>
    <row r="343" spans="2:9" x14ac:dyDescent="0.25">
      <c r="B343" s="24">
        <v>43845</v>
      </c>
      <c r="C343" s="23" t="s">
        <v>106</v>
      </c>
      <c r="D343" s="23" t="s">
        <v>108</v>
      </c>
      <c r="E343" s="25">
        <v>3659</v>
      </c>
      <c r="F343" s="23" t="s">
        <v>99</v>
      </c>
      <c r="G343" s="23" t="s">
        <v>102</v>
      </c>
      <c r="H343" s="23">
        <v>25</v>
      </c>
      <c r="I343" s="26">
        <v>71</v>
      </c>
    </row>
    <row r="344" spans="2:9" x14ac:dyDescent="0.25">
      <c r="B344" s="24">
        <v>43846</v>
      </c>
      <c r="C344" s="23" t="s">
        <v>95</v>
      </c>
      <c r="D344" s="23" t="s">
        <v>103</v>
      </c>
      <c r="E344" s="25">
        <v>3082</v>
      </c>
      <c r="F344" s="23" t="s">
        <v>99</v>
      </c>
      <c r="G344" s="23" t="s">
        <v>102</v>
      </c>
      <c r="H344" s="23">
        <v>61</v>
      </c>
      <c r="I344" s="26">
        <v>173.24</v>
      </c>
    </row>
    <row r="345" spans="2:9" x14ac:dyDescent="0.25">
      <c r="B345" s="24">
        <v>43846</v>
      </c>
      <c r="C345" s="23" t="s">
        <v>95</v>
      </c>
      <c r="D345" s="23" t="s">
        <v>101</v>
      </c>
      <c r="E345" s="25">
        <v>3000</v>
      </c>
      <c r="F345" s="23" t="s">
        <v>104</v>
      </c>
      <c r="G345" s="23" t="s">
        <v>113</v>
      </c>
      <c r="H345" s="23">
        <v>75</v>
      </c>
      <c r="I345" s="26">
        <v>140.25</v>
      </c>
    </row>
    <row r="346" spans="2:9" x14ac:dyDescent="0.25">
      <c r="B346" s="24">
        <v>43847</v>
      </c>
      <c r="C346" s="23" t="s">
        <v>106</v>
      </c>
      <c r="D346" s="23" t="s">
        <v>107</v>
      </c>
      <c r="E346" s="25">
        <v>3062</v>
      </c>
      <c r="F346" s="23" t="s">
        <v>97</v>
      </c>
      <c r="G346" s="23" t="s">
        <v>98</v>
      </c>
      <c r="H346" s="23">
        <v>34</v>
      </c>
      <c r="I346" s="26">
        <v>57.12</v>
      </c>
    </row>
    <row r="347" spans="2:9" x14ac:dyDescent="0.25">
      <c r="B347" s="24">
        <v>43847</v>
      </c>
      <c r="C347" s="23" t="s">
        <v>95</v>
      </c>
      <c r="D347" s="23" t="s">
        <v>96</v>
      </c>
      <c r="E347" s="25">
        <v>3036</v>
      </c>
      <c r="F347" s="23" t="s">
        <v>109</v>
      </c>
      <c r="G347" s="23" t="s">
        <v>110</v>
      </c>
      <c r="H347" s="23">
        <v>22</v>
      </c>
      <c r="I347" s="26">
        <v>61.42</v>
      </c>
    </row>
    <row r="348" spans="2:9" x14ac:dyDescent="0.25">
      <c r="B348" s="24">
        <v>43850</v>
      </c>
      <c r="C348" s="23" t="s">
        <v>106</v>
      </c>
      <c r="D348" s="23" t="s">
        <v>108</v>
      </c>
      <c r="E348" s="25">
        <v>3659</v>
      </c>
      <c r="F348" s="23" t="s">
        <v>104</v>
      </c>
      <c r="G348" s="23" t="s">
        <v>113</v>
      </c>
      <c r="H348" s="23">
        <v>26</v>
      </c>
      <c r="I348" s="26">
        <v>48.62</v>
      </c>
    </row>
    <row r="349" spans="2:9" x14ac:dyDescent="0.25">
      <c r="B349" s="24">
        <v>43850</v>
      </c>
      <c r="C349" s="23" t="s">
        <v>95</v>
      </c>
      <c r="D349" s="23" t="s">
        <v>103</v>
      </c>
      <c r="E349" s="25">
        <v>3082</v>
      </c>
      <c r="F349" s="23" t="s">
        <v>109</v>
      </c>
      <c r="G349" s="23" t="s">
        <v>110</v>
      </c>
      <c r="H349" s="23">
        <v>21</v>
      </c>
      <c r="I349" s="26">
        <v>58.63</v>
      </c>
    </row>
    <row r="350" spans="2:9" x14ac:dyDescent="0.25">
      <c r="B350" s="24">
        <v>43851</v>
      </c>
      <c r="C350" s="23" t="s">
        <v>95</v>
      </c>
      <c r="D350" s="23" t="s">
        <v>101</v>
      </c>
      <c r="E350" s="25">
        <v>3000</v>
      </c>
      <c r="F350" s="23" t="s">
        <v>99</v>
      </c>
      <c r="G350" s="23" t="s">
        <v>100</v>
      </c>
      <c r="H350" s="23">
        <v>39</v>
      </c>
      <c r="I350" s="26">
        <v>72.930000000000007</v>
      </c>
    </row>
    <row r="351" spans="2:9" x14ac:dyDescent="0.25">
      <c r="B351" s="24">
        <v>43851</v>
      </c>
      <c r="C351" s="23" t="s">
        <v>95</v>
      </c>
      <c r="D351" s="23" t="s">
        <v>101</v>
      </c>
      <c r="E351" s="25">
        <v>3000</v>
      </c>
      <c r="F351" s="23" t="s">
        <v>104</v>
      </c>
      <c r="G351" s="23" t="s">
        <v>105</v>
      </c>
      <c r="H351" s="23">
        <v>98</v>
      </c>
      <c r="I351" s="26">
        <v>173.46</v>
      </c>
    </row>
    <row r="352" spans="2:9" x14ac:dyDescent="0.25">
      <c r="B352" s="24">
        <v>43852</v>
      </c>
      <c r="C352" s="23" t="s">
        <v>95</v>
      </c>
      <c r="D352" s="23" t="s">
        <v>96</v>
      </c>
      <c r="E352" s="25">
        <v>3090</v>
      </c>
      <c r="F352" s="23" t="s">
        <v>104</v>
      </c>
      <c r="G352" s="23" t="s">
        <v>113</v>
      </c>
      <c r="H352" s="23">
        <v>39</v>
      </c>
      <c r="I352" s="26">
        <v>72.930000000000007</v>
      </c>
    </row>
    <row r="353" spans="2:9" x14ac:dyDescent="0.25">
      <c r="B353" s="24">
        <v>43852</v>
      </c>
      <c r="C353" s="23" t="s">
        <v>95</v>
      </c>
      <c r="D353" s="23" t="s">
        <v>96</v>
      </c>
      <c r="E353" s="25">
        <v>3090</v>
      </c>
      <c r="F353" s="23" t="s">
        <v>99</v>
      </c>
      <c r="G353" s="23" t="s">
        <v>100</v>
      </c>
      <c r="H353" s="23">
        <v>61</v>
      </c>
      <c r="I353" s="26">
        <v>114.07</v>
      </c>
    </row>
    <row r="354" spans="2:9" x14ac:dyDescent="0.25">
      <c r="B354" s="24">
        <v>43853</v>
      </c>
      <c r="C354" s="23" t="s">
        <v>106</v>
      </c>
      <c r="D354" s="23" t="s">
        <v>107</v>
      </c>
      <c r="E354" s="25">
        <v>3062</v>
      </c>
      <c r="F354" s="23" t="s">
        <v>104</v>
      </c>
      <c r="G354" s="23" t="s">
        <v>105</v>
      </c>
      <c r="H354" s="23">
        <v>66</v>
      </c>
      <c r="I354" s="26">
        <v>116.82</v>
      </c>
    </row>
    <row r="355" spans="2:9" x14ac:dyDescent="0.25">
      <c r="B355" s="24">
        <v>43853</v>
      </c>
      <c r="C355" s="23" t="s">
        <v>95</v>
      </c>
      <c r="D355" s="23" t="s">
        <v>103</v>
      </c>
      <c r="E355" s="25">
        <v>3082</v>
      </c>
      <c r="F355" s="23" t="s">
        <v>99</v>
      </c>
      <c r="G355" s="23" t="s">
        <v>112</v>
      </c>
      <c r="H355" s="23">
        <v>30</v>
      </c>
      <c r="I355" s="26">
        <v>65.400000000000006</v>
      </c>
    </row>
    <row r="356" spans="2:9" x14ac:dyDescent="0.25">
      <c r="B356" s="24">
        <v>43854</v>
      </c>
      <c r="C356" s="23" t="s">
        <v>95</v>
      </c>
      <c r="D356" s="23" t="s">
        <v>103</v>
      </c>
      <c r="E356" s="25">
        <v>3082</v>
      </c>
      <c r="F356" s="23" t="s">
        <v>97</v>
      </c>
      <c r="G356" s="23" t="s">
        <v>98</v>
      </c>
      <c r="H356" s="23">
        <v>31</v>
      </c>
      <c r="I356" s="26">
        <v>52.08</v>
      </c>
    </row>
    <row r="357" spans="2:9" x14ac:dyDescent="0.25">
      <c r="B357" s="24">
        <v>43854</v>
      </c>
      <c r="C357" s="23" t="s">
        <v>95</v>
      </c>
      <c r="D357" s="23" t="s">
        <v>101</v>
      </c>
      <c r="E357" s="25">
        <v>3000</v>
      </c>
      <c r="F357" s="23" t="s">
        <v>104</v>
      </c>
      <c r="G357" s="23" t="s">
        <v>105</v>
      </c>
      <c r="H357" s="23">
        <v>46</v>
      </c>
      <c r="I357" s="26">
        <v>81.42</v>
      </c>
    </row>
    <row r="358" spans="2:9" x14ac:dyDescent="0.25">
      <c r="B358" s="24">
        <v>43857</v>
      </c>
      <c r="C358" s="23" t="s">
        <v>95</v>
      </c>
      <c r="D358" s="23" t="s">
        <v>101</v>
      </c>
      <c r="E358" s="25">
        <v>3000</v>
      </c>
      <c r="F358" s="23" t="s">
        <v>97</v>
      </c>
      <c r="G358" s="23" t="s">
        <v>111</v>
      </c>
      <c r="H358" s="23">
        <v>22</v>
      </c>
      <c r="I358" s="26">
        <v>69.3</v>
      </c>
    </row>
    <row r="359" spans="2:9" x14ac:dyDescent="0.25">
      <c r="B359" s="24">
        <v>43857</v>
      </c>
      <c r="C359" s="23" t="s">
        <v>106</v>
      </c>
      <c r="D359" s="23" t="s">
        <v>107</v>
      </c>
      <c r="E359" s="25">
        <v>3062</v>
      </c>
      <c r="F359" s="23" t="s">
        <v>97</v>
      </c>
      <c r="G359" s="23" t="s">
        <v>98</v>
      </c>
      <c r="H359" s="23">
        <v>35</v>
      </c>
      <c r="I359" s="26">
        <v>58.8</v>
      </c>
    </row>
    <row r="360" spans="2:9" x14ac:dyDescent="0.25">
      <c r="B360" s="24">
        <v>43858</v>
      </c>
      <c r="C360" s="23" t="s">
        <v>95</v>
      </c>
      <c r="D360" s="23" t="s">
        <v>103</v>
      </c>
      <c r="E360" s="25">
        <v>3082</v>
      </c>
      <c r="F360" s="23" t="s">
        <v>104</v>
      </c>
      <c r="G360" s="23" t="s">
        <v>113</v>
      </c>
      <c r="H360" s="23">
        <v>53</v>
      </c>
      <c r="I360" s="26">
        <v>99.11</v>
      </c>
    </row>
    <row r="361" spans="2:9" x14ac:dyDescent="0.25">
      <c r="B361" s="24">
        <v>43858</v>
      </c>
      <c r="C361" s="23" t="s">
        <v>95</v>
      </c>
      <c r="D361" s="23" t="s">
        <v>96</v>
      </c>
      <c r="E361" s="25">
        <v>3036</v>
      </c>
      <c r="F361" s="23" t="s">
        <v>99</v>
      </c>
      <c r="G361" s="23" t="s">
        <v>102</v>
      </c>
      <c r="H361" s="23">
        <v>54</v>
      </c>
      <c r="I361" s="26">
        <v>153.36000000000001</v>
      </c>
    </row>
    <row r="362" spans="2:9" x14ac:dyDescent="0.25">
      <c r="B362" s="24">
        <v>43859</v>
      </c>
      <c r="C362" s="23" t="s">
        <v>106</v>
      </c>
      <c r="D362" s="23" t="s">
        <v>107</v>
      </c>
      <c r="E362" s="25">
        <v>3062</v>
      </c>
      <c r="F362" s="23" t="s">
        <v>104</v>
      </c>
      <c r="G362" s="23" t="s">
        <v>105</v>
      </c>
      <c r="H362" s="23">
        <v>69</v>
      </c>
      <c r="I362" s="26">
        <v>122.13</v>
      </c>
    </row>
    <row r="363" spans="2:9" x14ac:dyDescent="0.25">
      <c r="B363" s="24">
        <v>43859</v>
      </c>
      <c r="C363" s="23" t="s">
        <v>95</v>
      </c>
      <c r="D363" s="23" t="s">
        <v>103</v>
      </c>
      <c r="E363" s="25">
        <v>3082</v>
      </c>
      <c r="F363" s="23" t="s">
        <v>104</v>
      </c>
      <c r="G363" s="23" t="s">
        <v>113</v>
      </c>
      <c r="H363" s="23">
        <v>32</v>
      </c>
      <c r="I363" s="26">
        <v>59.84</v>
      </c>
    </row>
    <row r="364" spans="2:9" x14ac:dyDescent="0.25">
      <c r="B364" s="24">
        <v>43860</v>
      </c>
      <c r="C364" s="23" t="s">
        <v>106</v>
      </c>
      <c r="D364" s="23" t="s">
        <v>107</v>
      </c>
      <c r="E364" s="25">
        <v>3062</v>
      </c>
      <c r="F364" s="23" t="s">
        <v>99</v>
      </c>
      <c r="G364" s="23" t="s">
        <v>100</v>
      </c>
      <c r="H364" s="23">
        <v>50</v>
      </c>
      <c r="I364" s="26">
        <v>93.5</v>
      </c>
    </row>
    <row r="365" spans="2:9" x14ac:dyDescent="0.25">
      <c r="B365" s="24">
        <v>43860</v>
      </c>
      <c r="C365" s="23" t="s">
        <v>95</v>
      </c>
      <c r="D365" s="23" t="s">
        <v>96</v>
      </c>
      <c r="E365" s="25">
        <v>3090</v>
      </c>
      <c r="F365" s="23" t="s">
        <v>99</v>
      </c>
      <c r="G365" s="23" t="s">
        <v>112</v>
      </c>
      <c r="H365" s="23">
        <v>44</v>
      </c>
      <c r="I365" s="26">
        <v>95.92</v>
      </c>
    </row>
    <row r="366" spans="2:9" x14ac:dyDescent="0.25">
      <c r="B366" s="24">
        <v>43861</v>
      </c>
      <c r="C366" s="23" t="s">
        <v>106</v>
      </c>
      <c r="D366" s="23" t="s">
        <v>108</v>
      </c>
      <c r="E366" s="25">
        <v>3659</v>
      </c>
      <c r="F366" s="23" t="s">
        <v>104</v>
      </c>
      <c r="G366" s="23" t="s">
        <v>113</v>
      </c>
      <c r="H366" s="23">
        <v>30</v>
      </c>
      <c r="I366" s="26">
        <v>56.1</v>
      </c>
    </row>
    <row r="367" spans="2:9" x14ac:dyDescent="0.25">
      <c r="B367" s="24">
        <v>43861</v>
      </c>
      <c r="C367" s="23" t="s">
        <v>95</v>
      </c>
      <c r="D367" s="23" t="s">
        <v>96</v>
      </c>
      <c r="E367" s="25">
        <v>3036</v>
      </c>
      <c r="F367" s="23" t="s">
        <v>104</v>
      </c>
      <c r="G367" s="23" t="s">
        <v>105</v>
      </c>
      <c r="H367" s="23">
        <v>39</v>
      </c>
      <c r="I367" s="26">
        <v>69.03</v>
      </c>
    </row>
    <row r="368" spans="2:9" x14ac:dyDescent="0.25">
      <c r="B368" s="24">
        <v>43864</v>
      </c>
      <c r="C368" s="23" t="s">
        <v>106</v>
      </c>
      <c r="D368" s="23" t="s">
        <v>107</v>
      </c>
      <c r="E368" s="25">
        <v>3062</v>
      </c>
      <c r="F368" s="23" t="s">
        <v>104</v>
      </c>
      <c r="G368" s="23" t="s">
        <v>105</v>
      </c>
      <c r="H368" s="23">
        <v>66</v>
      </c>
      <c r="I368" s="26">
        <v>116.82</v>
      </c>
    </row>
    <row r="369" spans="2:9" x14ac:dyDescent="0.25">
      <c r="B369" s="24">
        <v>43864</v>
      </c>
      <c r="C369" s="23" t="s">
        <v>106</v>
      </c>
      <c r="D369" s="23" t="s">
        <v>107</v>
      </c>
      <c r="E369" s="25">
        <v>3062</v>
      </c>
      <c r="F369" s="23" t="s">
        <v>104</v>
      </c>
      <c r="G369" s="23" t="s">
        <v>113</v>
      </c>
      <c r="H369" s="23">
        <v>36</v>
      </c>
      <c r="I369" s="26">
        <v>67.319999999999993</v>
      </c>
    </row>
    <row r="370" spans="2:9" x14ac:dyDescent="0.25">
      <c r="B370" s="24">
        <v>43865</v>
      </c>
      <c r="C370" s="23" t="s">
        <v>95</v>
      </c>
      <c r="D370" s="23" t="s">
        <v>101</v>
      </c>
      <c r="E370" s="25">
        <v>3000</v>
      </c>
      <c r="F370" s="23" t="s">
        <v>109</v>
      </c>
      <c r="G370" s="23" t="s">
        <v>110</v>
      </c>
      <c r="H370" s="23">
        <v>24</v>
      </c>
      <c r="I370" s="26">
        <v>83.76</v>
      </c>
    </row>
    <row r="371" spans="2:9" x14ac:dyDescent="0.25">
      <c r="B371" s="24">
        <v>43865</v>
      </c>
      <c r="C371" s="23" t="s">
        <v>95</v>
      </c>
      <c r="D371" s="23" t="s">
        <v>101</v>
      </c>
      <c r="E371" s="25">
        <v>3000</v>
      </c>
      <c r="F371" s="23" t="s">
        <v>99</v>
      </c>
      <c r="G371" s="23" t="s">
        <v>112</v>
      </c>
      <c r="H371" s="23">
        <v>33</v>
      </c>
      <c r="I371" s="26">
        <v>71.94</v>
      </c>
    </row>
    <row r="372" spans="2:9" x14ac:dyDescent="0.25">
      <c r="B372" s="24">
        <v>43866</v>
      </c>
      <c r="C372" s="23" t="s">
        <v>106</v>
      </c>
      <c r="D372" s="23" t="s">
        <v>108</v>
      </c>
      <c r="E372" s="25">
        <v>3659</v>
      </c>
      <c r="F372" s="23" t="s">
        <v>104</v>
      </c>
      <c r="G372" s="23" t="s">
        <v>105</v>
      </c>
      <c r="H372" s="23">
        <v>49</v>
      </c>
      <c r="I372" s="26">
        <v>86.73</v>
      </c>
    </row>
    <row r="373" spans="2:9" x14ac:dyDescent="0.25">
      <c r="B373" s="24">
        <v>43866</v>
      </c>
      <c r="C373" s="23" t="s">
        <v>95</v>
      </c>
      <c r="D373" s="23" t="s">
        <v>103</v>
      </c>
      <c r="E373" s="25">
        <v>3082</v>
      </c>
      <c r="F373" s="23" t="s">
        <v>109</v>
      </c>
      <c r="G373" s="23" t="s">
        <v>110</v>
      </c>
      <c r="H373" s="23">
        <v>22</v>
      </c>
      <c r="I373" s="26">
        <v>61.42</v>
      </c>
    </row>
    <row r="374" spans="2:9" x14ac:dyDescent="0.25">
      <c r="B374" s="24">
        <v>43867</v>
      </c>
      <c r="C374" s="23" t="s">
        <v>95</v>
      </c>
      <c r="D374" s="23" t="s">
        <v>96</v>
      </c>
      <c r="E374" s="25">
        <v>3090</v>
      </c>
      <c r="F374" s="23" t="s">
        <v>99</v>
      </c>
      <c r="G374" s="23" t="s">
        <v>100</v>
      </c>
      <c r="H374" s="23">
        <v>40</v>
      </c>
      <c r="I374" s="26">
        <v>74.8</v>
      </c>
    </row>
    <row r="375" spans="2:9" x14ac:dyDescent="0.25">
      <c r="B375" s="24">
        <v>43867</v>
      </c>
      <c r="C375" s="23" t="s">
        <v>106</v>
      </c>
      <c r="D375" s="23" t="s">
        <v>108</v>
      </c>
      <c r="E375" s="25">
        <v>3659</v>
      </c>
      <c r="F375" s="23" t="s">
        <v>104</v>
      </c>
      <c r="G375" s="23" t="s">
        <v>105</v>
      </c>
      <c r="H375" s="23">
        <v>51</v>
      </c>
      <c r="I375" s="26">
        <v>90.27</v>
      </c>
    </row>
    <row r="376" spans="2:9" x14ac:dyDescent="0.25">
      <c r="B376" s="24">
        <v>43868</v>
      </c>
      <c r="C376" s="23" t="s">
        <v>95</v>
      </c>
      <c r="D376" s="23" t="s">
        <v>101</v>
      </c>
      <c r="E376" s="25">
        <v>3000</v>
      </c>
      <c r="F376" s="23" t="s">
        <v>104</v>
      </c>
      <c r="G376" s="23" t="s">
        <v>105</v>
      </c>
      <c r="H376" s="23">
        <v>25</v>
      </c>
      <c r="I376" s="26">
        <v>44.25</v>
      </c>
    </row>
    <row r="377" spans="2:9" x14ac:dyDescent="0.25">
      <c r="B377" s="24">
        <v>43868</v>
      </c>
      <c r="C377" s="23" t="s">
        <v>95</v>
      </c>
      <c r="D377" s="23" t="s">
        <v>96</v>
      </c>
      <c r="E377" s="25">
        <v>3036</v>
      </c>
      <c r="F377" s="23" t="s">
        <v>97</v>
      </c>
      <c r="G377" s="23" t="s">
        <v>98</v>
      </c>
      <c r="H377" s="23">
        <v>21</v>
      </c>
      <c r="I377" s="26">
        <v>35.28</v>
      </c>
    </row>
    <row r="378" spans="2:9" x14ac:dyDescent="0.25">
      <c r="B378" s="24">
        <v>43871</v>
      </c>
      <c r="C378" s="23" t="s">
        <v>95</v>
      </c>
      <c r="D378" s="23" t="s">
        <v>96</v>
      </c>
      <c r="E378" s="25">
        <v>3036</v>
      </c>
      <c r="F378" s="23" t="s">
        <v>104</v>
      </c>
      <c r="G378" s="23" t="s">
        <v>113</v>
      </c>
      <c r="H378" s="23">
        <v>24</v>
      </c>
      <c r="I378" s="26">
        <v>44.88</v>
      </c>
    </row>
    <row r="379" spans="2:9" x14ac:dyDescent="0.25">
      <c r="B379" s="24">
        <v>43871</v>
      </c>
      <c r="C379" s="23" t="s">
        <v>95</v>
      </c>
      <c r="D379" s="23" t="s">
        <v>96</v>
      </c>
      <c r="E379" s="25">
        <v>3036</v>
      </c>
      <c r="F379" s="23" t="s">
        <v>104</v>
      </c>
      <c r="G379" s="23" t="s">
        <v>113</v>
      </c>
      <c r="H379" s="23">
        <v>26</v>
      </c>
      <c r="I379" s="26">
        <v>48.62</v>
      </c>
    </row>
    <row r="380" spans="2:9" x14ac:dyDescent="0.25">
      <c r="B380" s="24">
        <v>43872</v>
      </c>
      <c r="C380" s="23" t="s">
        <v>106</v>
      </c>
      <c r="D380" s="23" t="s">
        <v>108</v>
      </c>
      <c r="E380" s="25">
        <v>3659</v>
      </c>
      <c r="F380" s="23" t="s">
        <v>109</v>
      </c>
      <c r="G380" s="23" t="s">
        <v>110</v>
      </c>
      <c r="H380" s="23">
        <v>21</v>
      </c>
      <c r="I380" s="26">
        <v>73.290000000000006</v>
      </c>
    </row>
    <row r="381" spans="2:9" x14ac:dyDescent="0.25">
      <c r="B381" s="24">
        <v>43872</v>
      </c>
      <c r="C381" s="23" t="s">
        <v>95</v>
      </c>
      <c r="D381" s="23" t="s">
        <v>103</v>
      </c>
      <c r="E381" s="25">
        <v>3082</v>
      </c>
      <c r="F381" s="23" t="s">
        <v>97</v>
      </c>
      <c r="G381" s="23" t="s">
        <v>98</v>
      </c>
      <c r="H381" s="23">
        <v>27</v>
      </c>
      <c r="I381" s="26">
        <v>45.36</v>
      </c>
    </row>
    <row r="382" spans="2:9" x14ac:dyDescent="0.25">
      <c r="B382" s="24">
        <v>43873</v>
      </c>
      <c r="C382" s="23" t="s">
        <v>95</v>
      </c>
      <c r="D382" s="23" t="s">
        <v>96</v>
      </c>
      <c r="E382" s="25">
        <v>3090</v>
      </c>
      <c r="F382" s="23" t="s">
        <v>99</v>
      </c>
      <c r="G382" s="23" t="s">
        <v>102</v>
      </c>
      <c r="H382" s="23">
        <v>32</v>
      </c>
      <c r="I382" s="26">
        <v>90.88</v>
      </c>
    </row>
    <row r="383" spans="2:9" x14ac:dyDescent="0.25">
      <c r="B383" s="24">
        <v>43873</v>
      </c>
      <c r="C383" s="23" t="s">
        <v>95</v>
      </c>
      <c r="D383" s="23" t="s">
        <v>101</v>
      </c>
      <c r="E383" s="25">
        <v>3000</v>
      </c>
      <c r="F383" s="23" t="s">
        <v>97</v>
      </c>
      <c r="G383" s="23" t="s">
        <v>98</v>
      </c>
      <c r="H383" s="23">
        <v>85</v>
      </c>
      <c r="I383" s="26">
        <v>142.80000000000001</v>
      </c>
    </row>
    <row r="384" spans="2:9" x14ac:dyDescent="0.25">
      <c r="B384" s="24">
        <v>43874</v>
      </c>
      <c r="C384" s="23" t="s">
        <v>106</v>
      </c>
      <c r="D384" s="23" t="s">
        <v>108</v>
      </c>
      <c r="E384" s="25">
        <v>3659</v>
      </c>
      <c r="F384" s="23" t="s">
        <v>99</v>
      </c>
      <c r="G384" s="23" t="s">
        <v>100</v>
      </c>
      <c r="H384" s="23">
        <v>38</v>
      </c>
      <c r="I384" s="26">
        <v>71.06</v>
      </c>
    </row>
    <row r="385" spans="2:9" x14ac:dyDescent="0.25">
      <c r="B385" s="24">
        <v>43874</v>
      </c>
      <c r="C385" s="23" t="s">
        <v>95</v>
      </c>
      <c r="D385" s="23" t="s">
        <v>96</v>
      </c>
      <c r="E385" s="25">
        <v>3090</v>
      </c>
      <c r="F385" s="23" t="s">
        <v>104</v>
      </c>
      <c r="G385" s="23" t="s">
        <v>105</v>
      </c>
      <c r="H385" s="23">
        <v>100</v>
      </c>
      <c r="I385" s="26">
        <v>177</v>
      </c>
    </row>
    <row r="386" spans="2:9" x14ac:dyDescent="0.25">
      <c r="B386" s="24">
        <v>43875</v>
      </c>
      <c r="C386" s="23" t="s">
        <v>95</v>
      </c>
      <c r="D386" s="23" t="s">
        <v>96</v>
      </c>
      <c r="E386" s="25">
        <v>3036</v>
      </c>
      <c r="F386" s="23" t="s">
        <v>99</v>
      </c>
      <c r="G386" s="23" t="s">
        <v>100</v>
      </c>
      <c r="H386" s="23">
        <v>24</v>
      </c>
      <c r="I386" s="26">
        <v>44.88</v>
      </c>
    </row>
    <row r="387" spans="2:9" x14ac:dyDescent="0.25">
      <c r="B387" s="24">
        <v>43875</v>
      </c>
      <c r="C387" s="23" t="s">
        <v>106</v>
      </c>
      <c r="D387" s="23" t="s">
        <v>107</v>
      </c>
      <c r="E387" s="25">
        <v>3062</v>
      </c>
      <c r="F387" s="23" t="s">
        <v>99</v>
      </c>
      <c r="G387" s="23" t="s">
        <v>102</v>
      </c>
      <c r="H387" s="23">
        <v>70</v>
      </c>
      <c r="I387" s="26">
        <v>198.8</v>
      </c>
    </row>
    <row r="388" spans="2:9" x14ac:dyDescent="0.25">
      <c r="B388" s="24">
        <v>43878</v>
      </c>
      <c r="C388" s="23" t="s">
        <v>95</v>
      </c>
      <c r="D388" s="23" t="s">
        <v>101</v>
      </c>
      <c r="E388" s="25">
        <v>3000</v>
      </c>
      <c r="F388" s="23" t="s">
        <v>97</v>
      </c>
      <c r="G388" s="23" t="s">
        <v>98</v>
      </c>
      <c r="H388" s="23">
        <v>63</v>
      </c>
      <c r="I388" s="26">
        <v>105.84</v>
      </c>
    </row>
    <row r="389" spans="2:9" x14ac:dyDescent="0.25">
      <c r="B389" s="24">
        <v>43878</v>
      </c>
      <c r="C389" s="23" t="s">
        <v>106</v>
      </c>
      <c r="D389" s="23" t="s">
        <v>107</v>
      </c>
      <c r="E389" s="25">
        <v>3062</v>
      </c>
      <c r="F389" s="23" t="s">
        <v>99</v>
      </c>
      <c r="G389" s="23" t="s">
        <v>112</v>
      </c>
      <c r="H389" s="23">
        <v>43</v>
      </c>
      <c r="I389" s="26">
        <v>93.74</v>
      </c>
    </row>
    <row r="390" spans="2:9" x14ac:dyDescent="0.25">
      <c r="B390" s="24">
        <v>43879</v>
      </c>
      <c r="C390" s="23" t="s">
        <v>106</v>
      </c>
      <c r="D390" s="23" t="s">
        <v>107</v>
      </c>
      <c r="E390" s="25">
        <v>3062</v>
      </c>
      <c r="F390" s="23" t="s">
        <v>104</v>
      </c>
      <c r="G390" s="23" t="s">
        <v>105</v>
      </c>
      <c r="H390" s="23">
        <v>48</v>
      </c>
      <c r="I390" s="26">
        <v>84.96</v>
      </c>
    </row>
    <row r="391" spans="2:9" x14ac:dyDescent="0.25">
      <c r="B391" s="24">
        <v>43879</v>
      </c>
      <c r="C391" s="23" t="s">
        <v>106</v>
      </c>
      <c r="D391" s="23" t="s">
        <v>107</v>
      </c>
      <c r="E391" s="25">
        <v>3062</v>
      </c>
      <c r="F391" s="23" t="s">
        <v>104</v>
      </c>
      <c r="G391" s="23" t="s">
        <v>105</v>
      </c>
      <c r="H391" s="23">
        <v>67</v>
      </c>
      <c r="I391" s="26">
        <v>118.59</v>
      </c>
    </row>
    <row r="392" spans="2:9" x14ac:dyDescent="0.25">
      <c r="B392" s="24">
        <v>43880</v>
      </c>
      <c r="C392" s="23" t="s">
        <v>95</v>
      </c>
      <c r="D392" s="23" t="s">
        <v>96</v>
      </c>
      <c r="E392" s="25">
        <v>3036</v>
      </c>
      <c r="F392" s="23" t="s">
        <v>109</v>
      </c>
      <c r="G392" s="23" t="s">
        <v>110</v>
      </c>
      <c r="H392" s="23">
        <v>33</v>
      </c>
      <c r="I392" s="26">
        <v>115.17</v>
      </c>
    </row>
    <row r="393" spans="2:9" x14ac:dyDescent="0.25">
      <c r="B393" s="24">
        <v>43880</v>
      </c>
      <c r="C393" s="23" t="s">
        <v>106</v>
      </c>
      <c r="D393" s="23" t="s">
        <v>107</v>
      </c>
      <c r="E393" s="25">
        <v>3062</v>
      </c>
      <c r="F393" s="23" t="s">
        <v>97</v>
      </c>
      <c r="G393" s="23" t="s">
        <v>98</v>
      </c>
      <c r="H393" s="23">
        <v>31</v>
      </c>
      <c r="I393" s="26">
        <v>52.08</v>
      </c>
    </row>
    <row r="394" spans="2:9" x14ac:dyDescent="0.25">
      <c r="B394" s="24">
        <v>43881</v>
      </c>
      <c r="C394" s="23" t="s">
        <v>95</v>
      </c>
      <c r="D394" s="23" t="s">
        <v>96</v>
      </c>
      <c r="E394" s="25">
        <v>3090</v>
      </c>
      <c r="F394" s="23" t="s">
        <v>97</v>
      </c>
      <c r="G394" s="23" t="s">
        <v>98</v>
      </c>
      <c r="H394" s="23">
        <v>25</v>
      </c>
      <c r="I394" s="26">
        <v>42</v>
      </c>
    </row>
    <row r="395" spans="2:9" x14ac:dyDescent="0.25">
      <c r="B395" s="24">
        <v>43881</v>
      </c>
      <c r="C395" s="23" t="s">
        <v>95</v>
      </c>
      <c r="D395" s="23" t="s">
        <v>101</v>
      </c>
      <c r="E395" s="25">
        <v>3000</v>
      </c>
      <c r="F395" s="23" t="s">
        <v>104</v>
      </c>
      <c r="G395" s="23" t="s">
        <v>113</v>
      </c>
      <c r="H395" s="23">
        <v>56</v>
      </c>
      <c r="I395" s="26">
        <v>104.72</v>
      </c>
    </row>
    <row r="396" spans="2:9" x14ac:dyDescent="0.25">
      <c r="B396" s="24">
        <v>43882</v>
      </c>
      <c r="C396" s="23" t="s">
        <v>95</v>
      </c>
      <c r="D396" s="23" t="s">
        <v>103</v>
      </c>
      <c r="E396" s="25">
        <v>3082</v>
      </c>
      <c r="F396" s="23" t="s">
        <v>99</v>
      </c>
      <c r="G396" s="23" t="s">
        <v>100</v>
      </c>
      <c r="H396" s="23">
        <v>37</v>
      </c>
      <c r="I396" s="26">
        <v>69.19</v>
      </c>
    </row>
    <row r="397" spans="2:9" x14ac:dyDescent="0.25">
      <c r="B397" s="24">
        <v>43882</v>
      </c>
      <c r="C397" s="23" t="s">
        <v>106</v>
      </c>
      <c r="D397" s="23" t="s">
        <v>108</v>
      </c>
      <c r="E397" s="25">
        <v>3659</v>
      </c>
      <c r="F397" s="23" t="s">
        <v>109</v>
      </c>
      <c r="G397" s="23" t="s">
        <v>110</v>
      </c>
      <c r="H397" s="23">
        <v>20</v>
      </c>
      <c r="I397" s="26">
        <v>69.8</v>
      </c>
    </row>
    <row r="398" spans="2:9" x14ac:dyDescent="0.25">
      <c r="B398" s="24">
        <v>43885</v>
      </c>
      <c r="C398" s="23" t="s">
        <v>106</v>
      </c>
      <c r="D398" s="23" t="s">
        <v>107</v>
      </c>
      <c r="E398" s="25">
        <v>3062</v>
      </c>
      <c r="F398" s="23" t="s">
        <v>99</v>
      </c>
      <c r="G398" s="23" t="s">
        <v>102</v>
      </c>
      <c r="H398" s="23">
        <v>44</v>
      </c>
      <c r="I398" s="26">
        <v>124.96</v>
      </c>
    </row>
    <row r="399" spans="2:9" x14ac:dyDescent="0.25">
      <c r="B399" s="24">
        <v>43885</v>
      </c>
      <c r="C399" s="23" t="s">
        <v>95</v>
      </c>
      <c r="D399" s="23" t="s">
        <v>103</v>
      </c>
      <c r="E399" s="25">
        <v>3082</v>
      </c>
      <c r="F399" s="23" t="s">
        <v>99</v>
      </c>
      <c r="G399" s="23" t="s">
        <v>112</v>
      </c>
      <c r="H399" s="23">
        <v>68</v>
      </c>
      <c r="I399" s="26">
        <v>148.24</v>
      </c>
    </row>
    <row r="400" spans="2:9" x14ac:dyDescent="0.25">
      <c r="B400" s="24">
        <v>43886</v>
      </c>
      <c r="C400" s="23" t="s">
        <v>95</v>
      </c>
      <c r="D400" s="23" t="s">
        <v>103</v>
      </c>
      <c r="E400" s="25">
        <v>3082</v>
      </c>
      <c r="F400" s="23" t="s">
        <v>104</v>
      </c>
      <c r="G400" s="23" t="s">
        <v>113</v>
      </c>
      <c r="H400" s="23">
        <v>51</v>
      </c>
      <c r="I400" s="26">
        <v>95.37</v>
      </c>
    </row>
    <row r="401" spans="2:9" x14ac:dyDescent="0.25">
      <c r="B401" s="24">
        <v>43886</v>
      </c>
      <c r="C401" s="23" t="s">
        <v>106</v>
      </c>
      <c r="D401" s="23" t="s">
        <v>108</v>
      </c>
      <c r="E401" s="25">
        <v>3659</v>
      </c>
      <c r="F401" s="23" t="s">
        <v>99</v>
      </c>
      <c r="G401" s="23" t="s">
        <v>100</v>
      </c>
      <c r="H401" s="23">
        <v>26</v>
      </c>
      <c r="I401" s="26">
        <v>48.62</v>
      </c>
    </row>
    <row r="402" spans="2:9" x14ac:dyDescent="0.25">
      <c r="B402" s="24">
        <v>43887</v>
      </c>
      <c r="C402" s="23" t="s">
        <v>95</v>
      </c>
      <c r="D402" s="23" t="s">
        <v>96</v>
      </c>
      <c r="E402" s="25">
        <v>3090</v>
      </c>
      <c r="F402" s="23" t="s">
        <v>104</v>
      </c>
      <c r="G402" s="23" t="s">
        <v>113</v>
      </c>
      <c r="H402" s="23">
        <v>57</v>
      </c>
      <c r="I402" s="26">
        <v>106.59</v>
      </c>
    </row>
    <row r="403" spans="2:9" x14ac:dyDescent="0.25">
      <c r="B403" s="24">
        <v>43887</v>
      </c>
      <c r="C403" s="23" t="s">
        <v>95</v>
      </c>
      <c r="D403" s="23" t="s">
        <v>96</v>
      </c>
      <c r="E403" s="25">
        <v>3090</v>
      </c>
      <c r="F403" s="23" t="s">
        <v>104</v>
      </c>
      <c r="G403" s="23" t="s">
        <v>113</v>
      </c>
      <c r="H403" s="23">
        <v>33</v>
      </c>
      <c r="I403" s="26">
        <v>61.71</v>
      </c>
    </row>
    <row r="404" spans="2:9" x14ac:dyDescent="0.25">
      <c r="B404" s="24">
        <v>43888</v>
      </c>
      <c r="C404" s="23" t="s">
        <v>95</v>
      </c>
      <c r="D404" s="23" t="s">
        <v>96</v>
      </c>
      <c r="E404" s="25">
        <v>3036</v>
      </c>
      <c r="F404" s="23" t="s">
        <v>99</v>
      </c>
      <c r="G404" s="23" t="s">
        <v>102</v>
      </c>
      <c r="H404" s="23">
        <v>23</v>
      </c>
      <c r="I404" s="26">
        <v>65.319999999999993</v>
      </c>
    </row>
    <row r="405" spans="2:9" x14ac:dyDescent="0.25">
      <c r="B405" s="24">
        <v>43888</v>
      </c>
      <c r="C405" s="23" t="s">
        <v>95</v>
      </c>
      <c r="D405" s="23" t="s">
        <v>96</v>
      </c>
      <c r="E405" s="25">
        <v>3090</v>
      </c>
      <c r="F405" s="23" t="s">
        <v>99</v>
      </c>
      <c r="G405" s="23" t="s">
        <v>102</v>
      </c>
      <c r="H405" s="23">
        <v>51</v>
      </c>
      <c r="I405" s="26">
        <v>144.84</v>
      </c>
    </row>
    <row r="406" spans="2:9" x14ac:dyDescent="0.25">
      <c r="B406" s="24">
        <v>43889</v>
      </c>
      <c r="C406" s="23" t="s">
        <v>95</v>
      </c>
      <c r="D406" s="23" t="s">
        <v>101</v>
      </c>
      <c r="E406" s="25">
        <v>3000</v>
      </c>
      <c r="F406" s="23" t="s">
        <v>97</v>
      </c>
      <c r="G406" s="23" t="s">
        <v>111</v>
      </c>
      <c r="H406" s="23">
        <v>21</v>
      </c>
      <c r="I406" s="26">
        <v>66.150000000000006</v>
      </c>
    </row>
    <row r="407" spans="2:9" x14ac:dyDescent="0.25">
      <c r="B407" s="24">
        <v>43889</v>
      </c>
      <c r="C407" s="23" t="s">
        <v>95</v>
      </c>
      <c r="D407" s="23" t="s">
        <v>101</v>
      </c>
      <c r="E407" s="25">
        <v>3000</v>
      </c>
      <c r="F407" s="23" t="s">
        <v>104</v>
      </c>
      <c r="G407" s="23" t="s">
        <v>105</v>
      </c>
      <c r="H407" s="23">
        <v>42</v>
      </c>
      <c r="I407" s="26">
        <v>74.34</v>
      </c>
    </row>
    <row r="408" spans="2:9" x14ac:dyDescent="0.25">
      <c r="B408" s="24">
        <v>43893</v>
      </c>
      <c r="C408" s="23" t="s">
        <v>106</v>
      </c>
      <c r="D408" s="23" t="s">
        <v>107</v>
      </c>
      <c r="E408" s="25">
        <v>3062</v>
      </c>
      <c r="F408" s="23" t="s">
        <v>99</v>
      </c>
      <c r="G408" s="23" t="s">
        <v>100</v>
      </c>
      <c r="H408" s="23">
        <v>39</v>
      </c>
      <c r="I408" s="26">
        <v>72.930000000000007</v>
      </c>
    </row>
    <row r="409" spans="2:9" x14ac:dyDescent="0.25">
      <c r="B409" s="24">
        <v>43893</v>
      </c>
      <c r="C409" s="23" t="s">
        <v>95</v>
      </c>
      <c r="D409" s="23" t="s">
        <v>101</v>
      </c>
      <c r="E409" s="25">
        <v>3000</v>
      </c>
      <c r="F409" s="23" t="s">
        <v>99</v>
      </c>
      <c r="G409" s="23" t="s">
        <v>112</v>
      </c>
      <c r="H409" s="23">
        <v>24</v>
      </c>
      <c r="I409" s="26">
        <v>52.32</v>
      </c>
    </row>
    <row r="410" spans="2:9" x14ac:dyDescent="0.25">
      <c r="B410" s="24">
        <v>43894</v>
      </c>
      <c r="C410" s="23" t="s">
        <v>95</v>
      </c>
      <c r="D410" s="23" t="s">
        <v>96</v>
      </c>
      <c r="E410" s="25">
        <v>3090</v>
      </c>
      <c r="F410" s="23" t="s">
        <v>104</v>
      </c>
      <c r="G410" s="23" t="s">
        <v>105</v>
      </c>
      <c r="H410" s="23">
        <v>27</v>
      </c>
      <c r="I410" s="26">
        <v>47.79</v>
      </c>
    </row>
    <row r="411" spans="2:9" x14ac:dyDescent="0.25">
      <c r="B411" s="24">
        <v>43894</v>
      </c>
      <c r="C411" s="23" t="s">
        <v>106</v>
      </c>
      <c r="D411" s="23" t="s">
        <v>108</v>
      </c>
      <c r="E411" s="25">
        <v>3659</v>
      </c>
      <c r="F411" s="23" t="s">
        <v>99</v>
      </c>
      <c r="G411" s="23" t="s">
        <v>102</v>
      </c>
      <c r="H411" s="23">
        <v>42</v>
      </c>
      <c r="I411" s="26">
        <v>119.28</v>
      </c>
    </row>
    <row r="412" spans="2:9" x14ac:dyDescent="0.25">
      <c r="B412" s="24">
        <v>43895</v>
      </c>
      <c r="C412" s="23" t="s">
        <v>95</v>
      </c>
      <c r="D412" s="23" t="s">
        <v>103</v>
      </c>
      <c r="E412" s="25">
        <v>3082</v>
      </c>
      <c r="F412" s="23" t="s">
        <v>99</v>
      </c>
      <c r="G412" s="23" t="s">
        <v>102</v>
      </c>
      <c r="H412" s="23">
        <v>130</v>
      </c>
      <c r="I412" s="26">
        <v>369.2</v>
      </c>
    </row>
    <row r="413" spans="2:9" x14ac:dyDescent="0.25">
      <c r="B413" s="24">
        <v>43895</v>
      </c>
      <c r="C413" s="23" t="s">
        <v>95</v>
      </c>
      <c r="D413" s="23" t="s">
        <v>103</v>
      </c>
      <c r="E413" s="25">
        <v>3082</v>
      </c>
      <c r="F413" s="23" t="s">
        <v>109</v>
      </c>
      <c r="G413" s="23" t="s">
        <v>114</v>
      </c>
      <c r="H413" s="23">
        <v>31</v>
      </c>
      <c r="I413" s="26">
        <v>67.89</v>
      </c>
    </row>
    <row r="414" spans="2:9" x14ac:dyDescent="0.25">
      <c r="B414" s="24">
        <v>43896</v>
      </c>
      <c r="C414" s="23" t="s">
        <v>95</v>
      </c>
      <c r="D414" s="23" t="s">
        <v>96</v>
      </c>
      <c r="E414" s="25">
        <v>3036</v>
      </c>
      <c r="F414" s="23" t="s">
        <v>104</v>
      </c>
      <c r="G414" s="23" t="s">
        <v>105</v>
      </c>
      <c r="H414" s="23">
        <v>46</v>
      </c>
      <c r="I414" s="26">
        <v>81.42</v>
      </c>
    </row>
    <row r="415" spans="2:9" x14ac:dyDescent="0.25">
      <c r="B415" s="24">
        <v>43896</v>
      </c>
      <c r="C415" s="23" t="s">
        <v>95</v>
      </c>
      <c r="D415" s="23" t="s">
        <v>96</v>
      </c>
      <c r="E415" s="25">
        <v>3090</v>
      </c>
      <c r="F415" s="23" t="s">
        <v>97</v>
      </c>
      <c r="G415" s="23" t="s">
        <v>98</v>
      </c>
      <c r="H415" s="23">
        <v>23</v>
      </c>
      <c r="I415" s="26">
        <v>38.64</v>
      </c>
    </row>
    <row r="416" spans="2:9" x14ac:dyDescent="0.25">
      <c r="B416" s="24">
        <v>43897</v>
      </c>
      <c r="C416" s="23" t="s">
        <v>106</v>
      </c>
      <c r="D416" s="23" t="s">
        <v>108</v>
      </c>
      <c r="E416" s="25">
        <v>3659</v>
      </c>
      <c r="F416" s="23" t="s">
        <v>104</v>
      </c>
      <c r="G416" s="23" t="s">
        <v>105</v>
      </c>
      <c r="H416" s="23">
        <v>65</v>
      </c>
      <c r="I416" s="26">
        <v>115.05</v>
      </c>
    </row>
    <row r="417" spans="2:9" x14ac:dyDescent="0.25">
      <c r="B417" s="24">
        <v>43897</v>
      </c>
      <c r="C417" s="23" t="s">
        <v>95</v>
      </c>
      <c r="D417" s="23" t="s">
        <v>96</v>
      </c>
      <c r="E417" s="25">
        <v>3090</v>
      </c>
      <c r="F417" s="23" t="s">
        <v>99</v>
      </c>
      <c r="G417" s="23" t="s">
        <v>100</v>
      </c>
      <c r="H417" s="23">
        <v>59</v>
      </c>
      <c r="I417" s="26">
        <v>110.33</v>
      </c>
    </row>
    <row r="418" spans="2:9" x14ac:dyDescent="0.25">
      <c r="B418" s="24">
        <v>43900</v>
      </c>
      <c r="C418" s="23" t="s">
        <v>95</v>
      </c>
      <c r="D418" s="23" t="s">
        <v>96</v>
      </c>
      <c r="E418" s="25">
        <v>3036</v>
      </c>
      <c r="F418" s="23" t="s">
        <v>99</v>
      </c>
      <c r="G418" s="23" t="s">
        <v>100</v>
      </c>
      <c r="H418" s="23">
        <v>32</v>
      </c>
      <c r="I418" s="26">
        <v>59.84</v>
      </c>
    </row>
    <row r="419" spans="2:9" x14ac:dyDescent="0.25">
      <c r="B419" s="24">
        <v>43900</v>
      </c>
      <c r="C419" s="23" t="s">
        <v>95</v>
      </c>
      <c r="D419" s="23" t="s">
        <v>103</v>
      </c>
      <c r="E419" s="25">
        <v>3082</v>
      </c>
      <c r="F419" s="23" t="s">
        <v>104</v>
      </c>
      <c r="G419" s="23" t="s">
        <v>113</v>
      </c>
      <c r="H419" s="23">
        <v>27</v>
      </c>
      <c r="I419" s="26">
        <v>50.49</v>
      </c>
    </row>
    <row r="420" spans="2:9" x14ac:dyDescent="0.25">
      <c r="B420" s="24">
        <v>43901</v>
      </c>
      <c r="C420" s="23" t="s">
        <v>95</v>
      </c>
      <c r="D420" s="23" t="s">
        <v>101</v>
      </c>
      <c r="E420" s="25">
        <v>3000</v>
      </c>
      <c r="F420" s="23" t="s">
        <v>99</v>
      </c>
      <c r="G420" s="23" t="s">
        <v>112</v>
      </c>
      <c r="H420" s="23">
        <v>38</v>
      </c>
      <c r="I420" s="26">
        <v>82.84</v>
      </c>
    </row>
    <row r="421" spans="2:9" x14ac:dyDescent="0.25">
      <c r="B421" s="24">
        <v>43901</v>
      </c>
      <c r="C421" s="23" t="s">
        <v>106</v>
      </c>
      <c r="D421" s="23" t="s">
        <v>107</v>
      </c>
      <c r="E421" s="25">
        <v>3062</v>
      </c>
      <c r="F421" s="23" t="s">
        <v>104</v>
      </c>
      <c r="G421" s="23" t="s">
        <v>113</v>
      </c>
      <c r="H421" s="23">
        <v>36</v>
      </c>
      <c r="I421" s="26">
        <v>67.319999999999993</v>
      </c>
    </row>
    <row r="422" spans="2:9" x14ac:dyDescent="0.25">
      <c r="B422" s="24">
        <v>43902</v>
      </c>
      <c r="C422" s="23" t="s">
        <v>95</v>
      </c>
      <c r="D422" s="23" t="s">
        <v>96</v>
      </c>
      <c r="E422" s="25">
        <v>3036</v>
      </c>
      <c r="F422" s="23" t="s">
        <v>99</v>
      </c>
      <c r="G422" s="23" t="s">
        <v>102</v>
      </c>
      <c r="H422" s="23">
        <v>28</v>
      </c>
      <c r="I422" s="26">
        <v>79.52</v>
      </c>
    </row>
    <row r="423" spans="2:9" x14ac:dyDescent="0.25">
      <c r="B423" s="24">
        <v>43902</v>
      </c>
      <c r="C423" s="23" t="s">
        <v>95</v>
      </c>
      <c r="D423" s="23" t="s">
        <v>96</v>
      </c>
      <c r="E423" s="25">
        <v>3090</v>
      </c>
      <c r="F423" s="23" t="s">
        <v>104</v>
      </c>
      <c r="G423" s="23" t="s">
        <v>105</v>
      </c>
      <c r="H423" s="23">
        <v>96</v>
      </c>
      <c r="I423" s="26">
        <v>169.92</v>
      </c>
    </row>
    <row r="424" spans="2:9" x14ac:dyDescent="0.25">
      <c r="B424" s="24">
        <v>43903</v>
      </c>
      <c r="C424" s="23" t="s">
        <v>95</v>
      </c>
      <c r="D424" s="23" t="s">
        <v>96</v>
      </c>
      <c r="E424" s="25">
        <v>3036</v>
      </c>
      <c r="F424" s="23" t="s">
        <v>97</v>
      </c>
      <c r="G424" s="23" t="s">
        <v>98</v>
      </c>
      <c r="H424" s="23">
        <v>20</v>
      </c>
      <c r="I424" s="26">
        <v>33.6</v>
      </c>
    </row>
    <row r="425" spans="2:9" x14ac:dyDescent="0.25">
      <c r="B425" s="24">
        <v>43903</v>
      </c>
      <c r="C425" s="23" t="s">
        <v>95</v>
      </c>
      <c r="D425" s="23" t="s">
        <v>96</v>
      </c>
      <c r="E425" s="25">
        <v>3090</v>
      </c>
      <c r="F425" s="23" t="s">
        <v>104</v>
      </c>
      <c r="G425" s="23" t="s">
        <v>105</v>
      </c>
      <c r="H425" s="23">
        <v>61</v>
      </c>
      <c r="I425" s="26">
        <v>107.97</v>
      </c>
    </row>
    <row r="426" spans="2:9" x14ac:dyDescent="0.25">
      <c r="B426" s="24">
        <v>43904</v>
      </c>
      <c r="C426" s="23" t="s">
        <v>95</v>
      </c>
      <c r="D426" s="23" t="s">
        <v>96</v>
      </c>
      <c r="E426" s="25">
        <v>3090</v>
      </c>
      <c r="F426" s="23" t="s">
        <v>109</v>
      </c>
      <c r="G426" s="23" t="s">
        <v>110</v>
      </c>
      <c r="H426" s="23">
        <v>25</v>
      </c>
      <c r="I426" s="26">
        <v>87.25</v>
      </c>
    </row>
    <row r="427" spans="2:9" x14ac:dyDescent="0.25">
      <c r="B427" s="24">
        <v>43904</v>
      </c>
      <c r="C427" s="23" t="s">
        <v>95</v>
      </c>
      <c r="D427" s="23" t="s">
        <v>101</v>
      </c>
      <c r="E427" s="25">
        <v>3000</v>
      </c>
      <c r="F427" s="23" t="s">
        <v>104</v>
      </c>
      <c r="G427" s="23" t="s">
        <v>105</v>
      </c>
      <c r="H427" s="23">
        <v>37</v>
      </c>
      <c r="I427" s="26">
        <v>65.489999999999995</v>
      </c>
    </row>
    <row r="428" spans="2:9" x14ac:dyDescent="0.25">
      <c r="B428" s="24">
        <v>43907</v>
      </c>
      <c r="C428" s="23" t="s">
        <v>95</v>
      </c>
      <c r="D428" s="23" t="s">
        <v>101</v>
      </c>
      <c r="E428" s="25">
        <v>3000</v>
      </c>
      <c r="F428" s="23" t="s">
        <v>99</v>
      </c>
      <c r="G428" s="23" t="s">
        <v>112</v>
      </c>
      <c r="H428" s="23">
        <v>36</v>
      </c>
      <c r="I428" s="26">
        <v>78.48</v>
      </c>
    </row>
    <row r="429" spans="2:9" x14ac:dyDescent="0.25">
      <c r="B429" s="24">
        <v>43907</v>
      </c>
      <c r="C429" s="23" t="s">
        <v>106</v>
      </c>
      <c r="D429" s="23" t="s">
        <v>108</v>
      </c>
      <c r="E429" s="25">
        <v>3659</v>
      </c>
      <c r="F429" s="23" t="s">
        <v>99</v>
      </c>
      <c r="G429" s="23" t="s">
        <v>100</v>
      </c>
      <c r="H429" s="23">
        <v>34</v>
      </c>
      <c r="I429" s="26">
        <v>63.58</v>
      </c>
    </row>
    <row r="430" spans="2:9" x14ac:dyDescent="0.25">
      <c r="B430" s="24">
        <v>43908</v>
      </c>
      <c r="C430" s="23" t="s">
        <v>95</v>
      </c>
      <c r="D430" s="23" t="s">
        <v>96</v>
      </c>
      <c r="E430" s="25">
        <v>3090</v>
      </c>
      <c r="F430" s="23" t="s">
        <v>104</v>
      </c>
      <c r="G430" s="23" t="s">
        <v>105</v>
      </c>
      <c r="H430" s="23">
        <v>159</v>
      </c>
      <c r="I430" s="26">
        <v>281.43</v>
      </c>
    </row>
    <row r="431" spans="2:9" x14ac:dyDescent="0.25">
      <c r="B431" s="24">
        <v>43908</v>
      </c>
      <c r="C431" s="23" t="s">
        <v>95</v>
      </c>
      <c r="D431" s="23" t="s">
        <v>101</v>
      </c>
      <c r="E431" s="25">
        <v>3000</v>
      </c>
      <c r="F431" s="23" t="s">
        <v>97</v>
      </c>
      <c r="G431" s="23" t="s">
        <v>111</v>
      </c>
      <c r="H431" s="23">
        <v>27</v>
      </c>
      <c r="I431" s="26">
        <v>85.05</v>
      </c>
    </row>
    <row r="432" spans="2:9" x14ac:dyDescent="0.25">
      <c r="B432" s="24">
        <v>43909</v>
      </c>
      <c r="C432" s="23" t="s">
        <v>106</v>
      </c>
      <c r="D432" s="23" t="s">
        <v>108</v>
      </c>
      <c r="E432" s="25">
        <v>3659</v>
      </c>
      <c r="F432" s="23" t="s">
        <v>104</v>
      </c>
      <c r="G432" s="23" t="s">
        <v>105</v>
      </c>
      <c r="H432" s="23">
        <v>125</v>
      </c>
      <c r="I432" s="26">
        <v>221.25</v>
      </c>
    </row>
    <row r="433" spans="2:9" x14ac:dyDescent="0.25">
      <c r="B433" s="24">
        <v>43909</v>
      </c>
      <c r="C433" s="23" t="s">
        <v>95</v>
      </c>
      <c r="D433" s="23" t="s">
        <v>103</v>
      </c>
      <c r="E433" s="25">
        <v>3082</v>
      </c>
      <c r="F433" s="23" t="s">
        <v>99</v>
      </c>
      <c r="G433" s="23" t="s">
        <v>100</v>
      </c>
      <c r="H433" s="23">
        <v>46</v>
      </c>
      <c r="I433" s="26">
        <v>86.02</v>
      </c>
    </row>
    <row r="434" spans="2:9" x14ac:dyDescent="0.25">
      <c r="B434" s="24">
        <v>43910</v>
      </c>
      <c r="C434" s="23" t="s">
        <v>95</v>
      </c>
      <c r="D434" s="23" t="s">
        <v>101</v>
      </c>
      <c r="E434" s="25">
        <v>3000</v>
      </c>
      <c r="F434" s="23" t="s">
        <v>104</v>
      </c>
      <c r="G434" s="23" t="s">
        <v>105</v>
      </c>
      <c r="H434" s="23">
        <v>48</v>
      </c>
      <c r="I434" s="26">
        <v>84.96</v>
      </c>
    </row>
    <row r="435" spans="2:9" x14ac:dyDescent="0.25">
      <c r="B435" s="24">
        <v>43910</v>
      </c>
      <c r="C435" s="23" t="s">
        <v>106</v>
      </c>
      <c r="D435" s="23" t="s">
        <v>108</v>
      </c>
      <c r="E435" s="25">
        <v>3659</v>
      </c>
      <c r="F435" s="23" t="s">
        <v>99</v>
      </c>
      <c r="G435" s="23" t="s">
        <v>102</v>
      </c>
      <c r="H435" s="23">
        <v>39</v>
      </c>
      <c r="I435" s="26">
        <v>110.76</v>
      </c>
    </row>
    <row r="436" spans="2:9" x14ac:dyDescent="0.25">
      <c r="B436" s="24">
        <v>43911</v>
      </c>
      <c r="C436" s="23" t="s">
        <v>95</v>
      </c>
      <c r="D436" s="23" t="s">
        <v>96</v>
      </c>
      <c r="E436" s="25">
        <v>3090</v>
      </c>
      <c r="F436" s="23" t="s">
        <v>99</v>
      </c>
      <c r="G436" s="23" t="s">
        <v>100</v>
      </c>
      <c r="H436" s="23">
        <v>61</v>
      </c>
      <c r="I436" s="26">
        <v>114.07</v>
      </c>
    </row>
    <row r="437" spans="2:9" x14ac:dyDescent="0.25">
      <c r="B437" s="24">
        <v>43911</v>
      </c>
      <c r="C437" s="23" t="s">
        <v>106</v>
      </c>
      <c r="D437" s="23" t="s">
        <v>107</v>
      </c>
      <c r="E437" s="25">
        <v>3062</v>
      </c>
      <c r="F437" s="23" t="s">
        <v>104</v>
      </c>
      <c r="G437" s="23" t="s">
        <v>105</v>
      </c>
      <c r="H437" s="23">
        <v>62</v>
      </c>
      <c r="I437" s="26">
        <v>109.74</v>
      </c>
    </row>
    <row r="438" spans="2:9" x14ac:dyDescent="0.25">
      <c r="B438" s="24">
        <v>43914</v>
      </c>
      <c r="C438" s="23" t="s">
        <v>95</v>
      </c>
      <c r="D438" s="23" t="s">
        <v>96</v>
      </c>
      <c r="E438" s="25">
        <v>3036</v>
      </c>
      <c r="F438" s="23" t="s">
        <v>109</v>
      </c>
      <c r="G438" s="23" t="s">
        <v>110</v>
      </c>
      <c r="H438" s="23">
        <v>32</v>
      </c>
      <c r="I438" s="26">
        <v>111.68</v>
      </c>
    </row>
    <row r="439" spans="2:9" x14ac:dyDescent="0.25">
      <c r="B439" s="24">
        <v>43914</v>
      </c>
      <c r="C439" s="23" t="s">
        <v>95</v>
      </c>
      <c r="D439" s="23" t="s">
        <v>96</v>
      </c>
      <c r="E439" s="25">
        <v>3036</v>
      </c>
      <c r="F439" s="23" t="s">
        <v>104</v>
      </c>
      <c r="G439" s="23" t="s">
        <v>113</v>
      </c>
      <c r="H439" s="23">
        <v>20</v>
      </c>
      <c r="I439" s="26">
        <v>37.4</v>
      </c>
    </row>
    <row r="440" spans="2:9" x14ac:dyDescent="0.25">
      <c r="B440" s="24">
        <v>43915</v>
      </c>
      <c r="C440" s="23" t="s">
        <v>106</v>
      </c>
      <c r="D440" s="23" t="s">
        <v>107</v>
      </c>
      <c r="E440" s="25">
        <v>3062</v>
      </c>
      <c r="F440" s="23" t="s">
        <v>104</v>
      </c>
      <c r="G440" s="23" t="s">
        <v>113</v>
      </c>
      <c r="H440" s="23">
        <v>42</v>
      </c>
      <c r="I440" s="26">
        <v>78.540000000000006</v>
      </c>
    </row>
    <row r="441" spans="2:9" x14ac:dyDescent="0.25">
      <c r="B441" s="24">
        <v>43915</v>
      </c>
      <c r="C441" s="23" t="s">
        <v>95</v>
      </c>
      <c r="D441" s="23" t="s">
        <v>101</v>
      </c>
      <c r="E441" s="25">
        <v>3000</v>
      </c>
      <c r="F441" s="23" t="s">
        <v>97</v>
      </c>
      <c r="G441" s="23" t="s">
        <v>98</v>
      </c>
      <c r="H441" s="23">
        <v>48</v>
      </c>
      <c r="I441" s="26">
        <v>80.64</v>
      </c>
    </row>
    <row r="442" spans="2:9" x14ac:dyDescent="0.25">
      <c r="B442" s="24">
        <v>43916</v>
      </c>
      <c r="C442" s="23" t="s">
        <v>106</v>
      </c>
      <c r="D442" s="23" t="s">
        <v>107</v>
      </c>
      <c r="E442" s="25">
        <v>3062</v>
      </c>
      <c r="F442" s="23" t="s">
        <v>99</v>
      </c>
      <c r="G442" s="23" t="s">
        <v>102</v>
      </c>
      <c r="H442" s="23">
        <v>100</v>
      </c>
      <c r="I442" s="26">
        <v>284</v>
      </c>
    </row>
    <row r="443" spans="2:9" x14ac:dyDescent="0.25">
      <c r="B443" s="24">
        <v>43916</v>
      </c>
      <c r="C443" s="23" t="s">
        <v>106</v>
      </c>
      <c r="D443" s="23" t="s">
        <v>108</v>
      </c>
      <c r="E443" s="25">
        <v>3659</v>
      </c>
      <c r="F443" s="23" t="s">
        <v>99</v>
      </c>
      <c r="G443" s="23" t="s">
        <v>112</v>
      </c>
      <c r="H443" s="23">
        <v>24</v>
      </c>
      <c r="I443" s="26">
        <v>52.32</v>
      </c>
    </row>
    <row r="444" spans="2:9" x14ac:dyDescent="0.25">
      <c r="B444" s="24">
        <v>43917</v>
      </c>
      <c r="C444" s="23" t="s">
        <v>95</v>
      </c>
      <c r="D444" s="23" t="s">
        <v>103</v>
      </c>
      <c r="E444" s="25">
        <v>3082</v>
      </c>
      <c r="F444" s="23" t="s">
        <v>109</v>
      </c>
      <c r="G444" s="23" t="s">
        <v>110</v>
      </c>
      <c r="H444" s="23">
        <v>31</v>
      </c>
      <c r="I444" s="26">
        <v>108.19</v>
      </c>
    </row>
    <row r="445" spans="2:9" x14ac:dyDescent="0.25">
      <c r="B445" s="24">
        <v>43917</v>
      </c>
      <c r="C445" s="23" t="s">
        <v>95</v>
      </c>
      <c r="D445" s="23" t="s">
        <v>101</v>
      </c>
      <c r="E445" s="25">
        <v>3000</v>
      </c>
      <c r="F445" s="23" t="s">
        <v>99</v>
      </c>
      <c r="G445" s="23" t="s">
        <v>112</v>
      </c>
      <c r="H445" s="23">
        <v>30</v>
      </c>
      <c r="I445" s="26">
        <v>65.400000000000006</v>
      </c>
    </row>
    <row r="446" spans="2:9" x14ac:dyDescent="0.25">
      <c r="B446" s="24">
        <v>43918</v>
      </c>
      <c r="C446" s="23" t="s">
        <v>95</v>
      </c>
      <c r="D446" s="23" t="s">
        <v>101</v>
      </c>
      <c r="E446" s="25">
        <v>3000</v>
      </c>
      <c r="F446" s="23" t="s">
        <v>99</v>
      </c>
      <c r="G446" s="23" t="s">
        <v>112</v>
      </c>
      <c r="H446" s="23">
        <v>34</v>
      </c>
      <c r="I446" s="26">
        <v>74.12</v>
      </c>
    </row>
    <row r="447" spans="2:9" x14ac:dyDescent="0.25">
      <c r="B447" s="24">
        <v>43918</v>
      </c>
      <c r="C447" s="23" t="s">
        <v>95</v>
      </c>
      <c r="D447" s="23" t="s">
        <v>103</v>
      </c>
      <c r="E447" s="25">
        <v>3082</v>
      </c>
      <c r="F447" s="23" t="s">
        <v>99</v>
      </c>
      <c r="G447" s="23" t="s">
        <v>100</v>
      </c>
      <c r="H447" s="23">
        <v>52</v>
      </c>
      <c r="I447" s="26">
        <v>97.24</v>
      </c>
    </row>
    <row r="448" spans="2:9" x14ac:dyDescent="0.25">
      <c r="B448" s="24">
        <v>43921</v>
      </c>
      <c r="C448" s="23" t="s">
        <v>95</v>
      </c>
      <c r="D448" s="23" t="s">
        <v>101</v>
      </c>
      <c r="E448" s="25">
        <v>3000</v>
      </c>
      <c r="F448" s="23" t="s">
        <v>97</v>
      </c>
      <c r="G448" s="23" t="s">
        <v>98</v>
      </c>
      <c r="H448" s="23">
        <v>48</v>
      </c>
      <c r="I448" s="26">
        <v>80.64</v>
      </c>
    </row>
    <row r="449" spans="2:9" x14ac:dyDescent="0.25">
      <c r="B449" s="24">
        <v>43921</v>
      </c>
      <c r="C449" s="23" t="s">
        <v>95</v>
      </c>
      <c r="D449" s="23" t="s">
        <v>101</v>
      </c>
      <c r="E449" s="25">
        <v>3000</v>
      </c>
      <c r="F449" s="23" t="s">
        <v>104</v>
      </c>
      <c r="G449" s="23" t="s">
        <v>105</v>
      </c>
      <c r="H449" s="23">
        <v>52</v>
      </c>
      <c r="I449" s="26">
        <v>92.04</v>
      </c>
    </row>
    <row r="450" spans="2:9" x14ac:dyDescent="0.25">
      <c r="B450" s="24">
        <v>43922</v>
      </c>
      <c r="C450" s="23" t="s">
        <v>95</v>
      </c>
      <c r="D450" s="23" t="s">
        <v>101</v>
      </c>
      <c r="E450" s="25">
        <v>3000</v>
      </c>
      <c r="F450" s="23" t="s">
        <v>99</v>
      </c>
      <c r="G450" s="23" t="s">
        <v>100</v>
      </c>
      <c r="H450" s="23">
        <v>245</v>
      </c>
      <c r="I450" s="26">
        <v>458.15</v>
      </c>
    </row>
    <row r="451" spans="2:9" x14ac:dyDescent="0.25">
      <c r="B451" s="24">
        <v>43922</v>
      </c>
      <c r="C451" s="23" t="s">
        <v>95</v>
      </c>
      <c r="D451" s="23" t="s">
        <v>96</v>
      </c>
      <c r="E451" s="25">
        <v>3090</v>
      </c>
      <c r="F451" s="23" t="s">
        <v>104</v>
      </c>
      <c r="G451" s="23" t="s">
        <v>10</v>
      </c>
      <c r="H451" s="23">
        <v>22</v>
      </c>
      <c r="I451" s="26">
        <v>49.94</v>
      </c>
    </row>
    <row r="452" spans="2:9" x14ac:dyDescent="0.25">
      <c r="B452" s="24">
        <v>43923</v>
      </c>
      <c r="C452" s="23" t="s">
        <v>95</v>
      </c>
      <c r="D452" s="23" t="s">
        <v>101</v>
      </c>
      <c r="E452" s="25">
        <v>3000</v>
      </c>
      <c r="F452" s="23" t="s">
        <v>104</v>
      </c>
      <c r="G452" s="23" t="s">
        <v>105</v>
      </c>
      <c r="H452" s="23">
        <v>156</v>
      </c>
      <c r="I452" s="26">
        <v>276.12</v>
      </c>
    </row>
    <row r="453" spans="2:9" x14ac:dyDescent="0.25">
      <c r="B453" s="24">
        <v>43923</v>
      </c>
      <c r="C453" s="23" t="s">
        <v>95</v>
      </c>
      <c r="D453" s="23" t="s">
        <v>101</v>
      </c>
      <c r="E453" s="25">
        <v>3000</v>
      </c>
      <c r="F453" s="23" t="s">
        <v>109</v>
      </c>
      <c r="G453" s="23" t="s">
        <v>114</v>
      </c>
      <c r="H453" s="23">
        <v>38</v>
      </c>
      <c r="I453" s="26">
        <v>83.22</v>
      </c>
    </row>
    <row r="454" spans="2:9" x14ac:dyDescent="0.25">
      <c r="B454" s="24">
        <v>43924</v>
      </c>
      <c r="C454" s="23" t="s">
        <v>106</v>
      </c>
      <c r="D454" s="23" t="s">
        <v>108</v>
      </c>
      <c r="E454" s="25">
        <v>3659</v>
      </c>
      <c r="F454" s="23" t="s">
        <v>104</v>
      </c>
      <c r="G454" s="23" t="s">
        <v>113</v>
      </c>
      <c r="H454" s="23">
        <v>29</v>
      </c>
      <c r="I454" s="26">
        <v>54.23</v>
      </c>
    </row>
    <row r="455" spans="2:9" x14ac:dyDescent="0.25">
      <c r="B455" s="24">
        <v>43924</v>
      </c>
      <c r="C455" s="23" t="s">
        <v>95</v>
      </c>
      <c r="D455" s="23" t="s">
        <v>103</v>
      </c>
      <c r="E455" s="25">
        <v>3082</v>
      </c>
      <c r="F455" s="23" t="s">
        <v>104</v>
      </c>
      <c r="G455" s="23" t="s">
        <v>113</v>
      </c>
      <c r="H455" s="23">
        <v>33</v>
      </c>
      <c r="I455" s="26">
        <v>61.71</v>
      </c>
    </row>
    <row r="456" spans="2:9" x14ac:dyDescent="0.25">
      <c r="B456" s="24">
        <v>43925</v>
      </c>
      <c r="C456" s="23" t="s">
        <v>95</v>
      </c>
      <c r="D456" s="23" t="s">
        <v>103</v>
      </c>
      <c r="E456" s="25">
        <v>3082</v>
      </c>
      <c r="F456" s="23" t="s">
        <v>99</v>
      </c>
      <c r="G456" s="23" t="s">
        <v>112</v>
      </c>
      <c r="H456" s="23">
        <v>25</v>
      </c>
      <c r="I456" s="26">
        <v>54.5</v>
      </c>
    </row>
    <row r="457" spans="2:9" x14ac:dyDescent="0.25">
      <c r="B457" s="24">
        <v>43925</v>
      </c>
      <c r="C457" s="23" t="s">
        <v>106</v>
      </c>
      <c r="D457" s="23" t="s">
        <v>107</v>
      </c>
      <c r="E457" s="25">
        <v>3062</v>
      </c>
      <c r="F457" s="23" t="s">
        <v>104</v>
      </c>
      <c r="G457" s="23" t="s">
        <v>105</v>
      </c>
      <c r="H457" s="23">
        <v>106</v>
      </c>
      <c r="I457" s="26">
        <v>187.62</v>
      </c>
    </row>
    <row r="458" spans="2:9" x14ac:dyDescent="0.25">
      <c r="B458" s="24">
        <v>43928</v>
      </c>
      <c r="C458" s="23" t="s">
        <v>106</v>
      </c>
      <c r="D458" s="23" t="s">
        <v>107</v>
      </c>
      <c r="E458" s="25">
        <v>3062</v>
      </c>
      <c r="F458" s="23" t="s">
        <v>99</v>
      </c>
      <c r="G458" s="23" t="s">
        <v>112</v>
      </c>
      <c r="H458" s="23">
        <v>36</v>
      </c>
      <c r="I458" s="26">
        <v>78.48</v>
      </c>
    </row>
    <row r="459" spans="2:9" x14ac:dyDescent="0.25">
      <c r="B459" s="24">
        <v>43928</v>
      </c>
      <c r="C459" s="23" t="s">
        <v>95</v>
      </c>
      <c r="D459" s="23" t="s">
        <v>101</v>
      </c>
      <c r="E459" s="25">
        <v>3000</v>
      </c>
      <c r="F459" s="23" t="s">
        <v>99</v>
      </c>
      <c r="G459" s="23" t="s">
        <v>102</v>
      </c>
      <c r="H459" s="23">
        <v>145</v>
      </c>
      <c r="I459" s="26">
        <v>411.8</v>
      </c>
    </row>
    <row r="460" spans="2:9" x14ac:dyDescent="0.25">
      <c r="B460" s="24">
        <v>43929</v>
      </c>
      <c r="C460" s="23" t="s">
        <v>95</v>
      </c>
      <c r="D460" s="23" t="s">
        <v>96</v>
      </c>
      <c r="E460" s="25">
        <v>3090</v>
      </c>
      <c r="F460" s="23" t="s">
        <v>99</v>
      </c>
      <c r="G460" s="23" t="s">
        <v>112</v>
      </c>
      <c r="H460" s="23">
        <v>107</v>
      </c>
      <c r="I460" s="26">
        <v>233.26</v>
      </c>
    </row>
    <row r="461" spans="2:9" x14ac:dyDescent="0.25">
      <c r="B461" s="24">
        <v>43929</v>
      </c>
      <c r="C461" s="23" t="s">
        <v>95</v>
      </c>
      <c r="D461" s="23" t="s">
        <v>96</v>
      </c>
      <c r="E461" s="25">
        <v>3036</v>
      </c>
      <c r="F461" s="23" t="s">
        <v>104</v>
      </c>
      <c r="G461" s="23" t="s">
        <v>113</v>
      </c>
      <c r="H461" s="23">
        <v>22</v>
      </c>
      <c r="I461" s="26">
        <v>41.14</v>
      </c>
    </row>
    <row r="462" spans="2:9" x14ac:dyDescent="0.25">
      <c r="B462" s="24">
        <v>43930</v>
      </c>
      <c r="C462" s="23" t="s">
        <v>106</v>
      </c>
      <c r="D462" s="23" t="s">
        <v>107</v>
      </c>
      <c r="E462" s="25">
        <v>3062</v>
      </c>
      <c r="F462" s="23" t="s">
        <v>104</v>
      </c>
      <c r="G462" s="23" t="s">
        <v>105</v>
      </c>
      <c r="H462" s="23">
        <v>53</v>
      </c>
      <c r="I462" s="26">
        <v>93.81</v>
      </c>
    </row>
    <row r="463" spans="2:9" x14ac:dyDescent="0.25">
      <c r="B463" s="24">
        <v>43930</v>
      </c>
      <c r="C463" s="23" t="s">
        <v>106</v>
      </c>
      <c r="D463" s="23" t="s">
        <v>107</v>
      </c>
      <c r="E463" s="25">
        <v>3062</v>
      </c>
      <c r="F463" s="23" t="s">
        <v>99</v>
      </c>
      <c r="G463" s="23" t="s">
        <v>112</v>
      </c>
      <c r="H463" s="23">
        <v>26</v>
      </c>
      <c r="I463" s="26">
        <v>56.68</v>
      </c>
    </row>
    <row r="464" spans="2:9" x14ac:dyDescent="0.25">
      <c r="B464" s="24">
        <v>43931</v>
      </c>
      <c r="C464" s="23" t="s">
        <v>95</v>
      </c>
      <c r="D464" s="23" t="s">
        <v>96</v>
      </c>
      <c r="E464" s="25">
        <v>3036</v>
      </c>
      <c r="F464" s="23" t="s">
        <v>109</v>
      </c>
      <c r="G464" s="23" t="s">
        <v>110</v>
      </c>
      <c r="H464" s="23">
        <v>37</v>
      </c>
      <c r="I464" s="26">
        <v>129.13</v>
      </c>
    </row>
    <row r="465" spans="2:9" x14ac:dyDescent="0.25">
      <c r="B465" s="24">
        <v>43931</v>
      </c>
      <c r="C465" s="23" t="s">
        <v>106</v>
      </c>
      <c r="D465" s="23" t="s">
        <v>107</v>
      </c>
      <c r="E465" s="25">
        <v>3062</v>
      </c>
      <c r="F465" s="23" t="s">
        <v>99</v>
      </c>
      <c r="G465" s="23" t="s">
        <v>100</v>
      </c>
      <c r="H465" s="23">
        <v>53</v>
      </c>
      <c r="I465" s="26">
        <v>99.11</v>
      </c>
    </row>
    <row r="466" spans="2:9" x14ac:dyDescent="0.25">
      <c r="B466" s="24">
        <v>43932</v>
      </c>
      <c r="C466" s="23" t="s">
        <v>106</v>
      </c>
      <c r="D466" s="23" t="s">
        <v>107</v>
      </c>
      <c r="E466" s="25">
        <v>3062</v>
      </c>
      <c r="F466" s="23" t="s">
        <v>97</v>
      </c>
      <c r="G466" s="23" t="s">
        <v>98</v>
      </c>
      <c r="H466" s="23">
        <v>31</v>
      </c>
      <c r="I466" s="26">
        <v>52.08</v>
      </c>
    </row>
    <row r="467" spans="2:9" x14ac:dyDescent="0.25">
      <c r="B467" s="24">
        <v>43932</v>
      </c>
      <c r="C467" s="23" t="s">
        <v>106</v>
      </c>
      <c r="D467" s="23" t="s">
        <v>108</v>
      </c>
      <c r="E467" s="25">
        <v>3659</v>
      </c>
      <c r="F467" s="23" t="s">
        <v>104</v>
      </c>
      <c r="G467" s="23" t="s">
        <v>105</v>
      </c>
      <c r="H467" s="23">
        <v>32</v>
      </c>
      <c r="I467" s="26">
        <v>56.64</v>
      </c>
    </row>
    <row r="468" spans="2:9" x14ac:dyDescent="0.25">
      <c r="B468" s="24">
        <v>43935</v>
      </c>
      <c r="C468" s="23" t="s">
        <v>106</v>
      </c>
      <c r="D468" s="23" t="s">
        <v>107</v>
      </c>
      <c r="E468" s="25">
        <v>3062</v>
      </c>
      <c r="F468" s="23" t="s">
        <v>99</v>
      </c>
      <c r="G468" s="23" t="s">
        <v>102</v>
      </c>
      <c r="H468" s="23">
        <v>44</v>
      </c>
      <c r="I468" s="26">
        <v>124.96</v>
      </c>
    </row>
    <row r="469" spans="2:9" x14ac:dyDescent="0.25">
      <c r="B469" s="24">
        <v>43935</v>
      </c>
      <c r="C469" s="23" t="s">
        <v>95</v>
      </c>
      <c r="D469" s="23" t="s">
        <v>103</v>
      </c>
      <c r="E469" s="25">
        <v>3082</v>
      </c>
      <c r="F469" s="23" t="s">
        <v>104</v>
      </c>
      <c r="G469" s="23" t="s">
        <v>105</v>
      </c>
      <c r="H469" s="23">
        <v>93</v>
      </c>
      <c r="I469" s="26">
        <v>164.61</v>
      </c>
    </row>
    <row r="470" spans="2:9" x14ac:dyDescent="0.25">
      <c r="B470" s="24">
        <v>43936</v>
      </c>
      <c r="C470" s="23" t="s">
        <v>95</v>
      </c>
      <c r="D470" s="23" t="s">
        <v>103</v>
      </c>
      <c r="E470" s="25">
        <v>3082</v>
      </c>
      <c r="F470" s="23" t="s">
        <v>99</v>
      </c>
      <c r="G470" s="23" t="s">
        <v>100</v>
      </c>
      <c r="H470" s="23">
        <v>66</v>
      </c>
      <c r="I470" s="26">
        <v>123.42</v>
      </c>
    </row>
    <row r="471" spans="2:9" x14ac:dyDescent="0.25">
      <c r="B471" s="24">
        <v>43936</v>
      </c>
      <c r="C471" s="23" t="s">
        <v>95</v>
      </c>
      <c r="D471" s="23" t="s">
        <v>101</v>
      </c>
      <c r="E471" s="25">
        <v>3000</v>
      </c>
      <c r="F471" s="23" t="s">
        <v>99</v>
      </c>
      <c r="G471" s="23" t="s">
        <v>100</v>
      </c>
      <c r="H471" s="23">
        <v>70</v>
      </c>
      <c r="I471" s="26">
        <v>130.9</v>
      </c>
    </row>
    <row r="472" spans="2:9" x14ac:dyDescent="0.25">
      <c r="B472" s="24">
        <v>43937</v>
      </c>
      <c r="C472" s="23" t="s">
        <v>95</v>
      </c>
      <c r="D472" s="23" t="s">
        <v>101</v>
      </c>
      <c r="E472" s="25">
        <v>3000</v>
      </c>
      <c r="F472" s="23" t="s">
        <v>99</v>
      </c>
      <c r="G472" s="23" t="s">
        <v>112</v>
      </c>
      <c r="H472" s="23">
        <v>28</v>
      </c>
      <c r="I472" s="26">
        <v>61.04</v>
      </c>
    </row>
    <row r="473" spans="2:9" x14ac:dyDescent="0.25">
      <c r="B473" s="24">
        <v>43937</v>
      </c>
      <c r="C473" s="23" t="s">
        <v>106</v>
      </c>
      <c r="D473" s="23" t="s">
        <v>108</v>
      </c>
      <c r="E473" s="25">
        <v>3659</v>
      </c>
      <c r="F473" s="23" t="s">
        <v>99</v>
      </c>
      <c r="G473" s="23" t="s">
        <v>100</v>
      </c>
      <c r="H473" s="23">
        <v>24</v>
      </c>
      <c r="I473" s="26">
        <v>44.88</v>
      </c>
    </row>
    <row r="474" spans="2:9" x14ac:dyDescent="0.25">
      <c r="B474" s="24">
        <v>43938</v>
      </c>
      <c r="C474" s="23" t="s">
        <v>95</v>
      </c>
      <c r="D474" s="23" t="s">
        <v>101</v>
      </c>
      <c r="E474" s="25">
        <v>3000</v>
      </c>
      <c r="F474" s="23" t="s">
        <v>109</v>
      </c>
      <c r="G474" s="23" t="s">
        <v>110</v>
      </c>
      <c r="H474" s="23">
        <v>25</v>
      </c>
      <c r="I474" s="26">
        <v>69.8</v>
      </c>
    </row>
    <row r="475" spans="2:9" x14ac:dyDescent="0.25">
      <c r="B475" s="24">
        <v>43938</v>
      </c>
      <c r="C475" s="23" t="s">
        <v>106</v>
      </c>
      <c r="D475" s="23" t="s">
        <v>107</v>
      </c>
      <c r="E475" s="25">
        <v>3062</v>
      </c>
      <c r="F475" s="23" t="s">
        <v>97</v>
      </c>
      <c r="G475" s="23" t="s">
        <v>98</v>
      </c>
      <c r="H475" s="23">
        <v>21</v>
      </c>
      <c r="I475" s="26">
        <v>35.28</v>
      </c>
    </row>
    <row r="476" spans="2:9" x14ac:dyDescent="0.25">
      <c r="B476" s="24">
        <v>43939</v>
      </c>
      <c r="C476" s="23" t="s">
        <v>95</v>
      </c>
      <c r="D476" s="23" t="s">
        <v>96</v>
      </c>
      <c r="E476" s="25">
        <v>3090</v>
      </c>
      <c r="F476" s="23" t="s">
        <v>104</v>
      </c>
      <c r="G476" s="23" t="s">
        <v>105</v>
      </c>
      <c r="H476" s="23">
        <v>107</v>
      </c>
      <c r="I476" s="26">
        <v>189.39</v>
      </c>
    </row>
    <row r="477" spans="2:9" x14ac:dyDescent="0.25">
      <c r="B477" s="24">
        <v>43939</v>
      </c>
      <c r="C477" s="23" t="s">
        <v>95</v>
      </c>
      <c r="D477" s="23" t="s">
        <v>101</v>
      </c>
      <c r="E477" s="25">
        <v>3000</v>
      </c>
      <c r="F477" s="23" t="s">
        <v>104</v>
      </c>
      <c r="G477" s="23" t="s">
        <v>105</v>
      </c>
      <c r="H477" s="23">
        <v>49</v>
      </c>
      <c r="I477" s="26">
        <v>86.73</v>
      </c>
    </row>
    <row r="478" spans="2:9" x14ac:dyDescent="0.25">
      <c r="B478" s="24">
        <v>43942</v>
      </c>
      <c r="C478" s="23" t="s">
        <v>95</v>
      </c>
      <c r="D478" s="23" t="s">
        <v>96</v>
      </c>
      <c r="E478" s="25">
        <v>3036</v>
      </c>
      <c r="F478" s="23" t="s">
        <v>104</v>
      </c>
      <c r="G478" s="23" t="s">
        <v>113</v>
      </c>
      <c r="H478" s="23">
        <v>26</v>
      </c>
      <c r="I478" s="26">
        <v>48.62</v>
      </c>
    </row>
    <row r="479" spans="2:9" x14ac:dyDescent="0.25">
      <c r="B479" s="24">
        <v>43942</v>
      </c>
      <c r="C479" s="23" t="s">
        <v>106</v>
      </c>
      <c r="D479" s="23" t="s">
        <v>108</v>
      </c>
      <c r="E479" s="25">
        <v>3659</v>
      </c>
      <c r="F479" s="23" t="s">
        <v>99</v>
      </c>
      <c r="G479" s="23" t="s">
        <v>102</v>
      </c>
      <c r="H479" s="23">
        <v>21</v>
      </c>
      <c r="I479" s="26">
        <v>59.64</v>
      </c>
    </row>
    <row r="480" spans="2:9" x14ac:dyDescent="0.25">
      <c r="B480" s="24">
        <v>43943</v>
      </c>
      <c r="C480" s="23" t="s">
        <v>95</v>
      </c>
      <c r="D480" s="23" t="s">
        <v>96</v>
      </c>
      <c r="E480" s="25">
        <v>3090</v>
      </c>
      <c r="F480" s="23" t="s">
        <v>104</v>
      </c>
      <c r="G480" s="23" t="s">
        <v>105</v>
      </c>
      <c r="H480" s="23">
        <v>33</v>
      </c>
      <c r="I480" s="26">
        <v>58.41</v>
      </c>
    </row>
    <row r="481" spans="2:9" x14ac:dyDescent="0.25">
      <c r="B481" s="24">
        <v>43943</v>
      </c>
      <c r="C481" s="23" t="s">
        <v>95</v>
      </c>
      <c r="D481" s="23" t="s">
        <v>103</v>
      </c>
      <c r="E481" s="25">
        <v>3082</v>
      </c>
      <c r="F481" s="23" t="s">
        <v>99</v>
      </c>
      <c r="G481" s="23" t="s">
        <v>112</v>
      </c>
      <c r="H481" s="23">
        <v>24</v>
      </c>
      <c r="I481" s="26">
        <v>52.32</v>
      </c>
    </row>
    <row r="482" spans="2:9" x14ac:dyDescent="0.25">
      <c r="B482" s="24">
        <v>43944</v>
      </c>
      <c r="C482" s="23" t="s">
        <v>106</v>
      </c>
      <c r="D482" s="23" t="s">
        <v>108</v>
      </c>
      <c r="E482" s="25">
        <v>3659</v>
      </c>
      <c r="F482" s="23" t="s">
        <v>99</v>
      </c>
      <c r="G482" s="23" t="s">
        <v>102</v>
      </c>
      <c r="H482" s="23">
        <v>47</v>
      </c>
      <c r="I482" s="26">
        <v>133.47999999999999</v>
      </c>
    </row>
    <row r="483" spans="2:9" x14ac:dyDescent="0.25">
      <c r="B483" s="24">
        <v>43944</v>
      </c>
      <c r="C483" s="23" t="s">
        <v>106</v>
      </c>
      <c r="D483" s="23" t="s">
        <v>107</v>
      </c>
      <c r="E483" s="25">
        <v>3062</v>
      </c>
      <c r="F483" s="23" t="s">
        <v>99</v>
      </c>
      <c r="G483" s="23" t="s">
        <v>112</v>
      </c>
      <c r="H483" s="23">
        <v>28</v>
      </c>
      <c r="I483" s="26">
        <v>61.04</v>
      </c>
    </row>
    <row r="484" spans="2:9" x14ac:dyDescent="0.25">
      <c r="B484" s="24">
        <v>43945</v>
      </c>
      <c r="C484" s="23" t="s">
        <v>106</v>
      </c>
      <c r="D484" s="23" t="s">
        <v>107</v>
      </c>
      <c r="E484" s="25">
        <v>3062</v>
      </c>
      <c r="F484" s="23" t="s">
        <v>99</v>
      </c>
      <c r="G484" s="23" t="s">
        <v>112</v>
      </c>
      <c r="H484" s="23">
        <v>50</v>
      </c>
      <c r="I484" s="26">
        <v>109</v>
      </c>
    </row>
    <row r="485" spans="2:9" x14ac:dyDescent="0.25">
      <c r="B485" s="24">
        <v>43945</v>
      </c>
      <c r="C485" s="23" t="s">
        <v>95</v>
      </c>
      <c r="D485" s="23" t="s">
        <v>101</v>
      </c>
      <c r="E485" s="25">
        <v>3000</v>
      </c>
      <c r="F485" s="23" t="s">
        <v>99</v>
      </c>
      <c r="G485" s="23" t="s">
        <v>112</v>
      </c>
      <c r="H485" s="23">
        <v>47</v>
      </c>
      <c r="I485" s="26">
        <v>102.46</v>
      </c>
    </row>
    <row r="486" spans="2:9" x14ac:dyDescent="0.25">
      <c r="B486" s="24">
        <v>43946</v>
      </c>
      <c r="C486" s="23" t="s">
        <v>95</v>
      </c>
      <c r="D486" s="23" t="s">
        <v>96</v>
      </c>
      <c r="E486" s="25">
        <v>3036</v>
      </c>
      <c r="F486" s="23" t="s">
        <v>104</v>
      </c>
      <c r="G486" s="23" t="s">
        <v>105</v>
      </c>
      <c r="H486" s="23">
        <v>28</v>
      </c>
      <c r="I486" s="26">
        <v>49.56</v>
      </c>
    </row>
    <row r="487" spans="2:9" x14ac:dyDescent="0.25">
      <c r="B487" s="24">
        <v>43946</v>
      </c>
      <c r="C487" s="23" t="s">
        <v>95</v>
      </c>
      <c r="D487" s="23" t="s">
        <v>101</v>
      </c>
      <c r="E487" s="25">
        <v>3000</v>
      </c>
      <c r="F487" s="23" t="s">
        <v>104</v>
      </c>
      <c r="G487" s="23" t="s">
        <v>105</v>
      </c>
      <c r="H487" s="23">
        <v>39</v>
      </c>
      <c r="I487" s="26">
        <v>69.03</v>
      </c>
    </row>
    <row r="488" spans="2:9" x14ac:dyDescent="0.25">
      <c r="B488" s="24">
        <v>43949</v>
      </c>
      <c r="C488" s="23" t="s">
        <v>95</v>
      </c>
      <c r="D488" s="23" t="s">
        <v>96</v>
      </c>
      <c r="E488" s="25">
        <v>3090</v>
      </c>
      <c r="F488" s="23" t="s">
        <v>97</v>
      </c>
      <c r="G488" s="23" t="s">
        <v>98</v>
      </c>
      <c r="H488" s="23">
        <v>22</v>
      </c>
      <c r="I488" s="26">
        <v>36.96</v>
      </c>
    </row>
    <row r="489" spans="2:9" x14ac:dyDescent="0.25">
      <c r="B489" s="24">
        <v>43949</v>
      </c>
      <c r="C489" s="23" t="s">
        <v>95</v>
      </c>
      <c r="D489" s="23" t="s">
        <v>101</v>
      </c>
      <c r="E489" s="25">
        <v>3000</v>
      </c>
      <c r="F489" s="23" t="s">
        <v>99</v>
      </c>
      <c r="G489" s="23" t="s">
        <v>112</v>
      </c>
      <c r="H489" s="23">
        <v>29</v>
      </c>
      <c r="I489" s="26">
        <v>63.22</v>
      </c>
    </row>
    <row r="490" spans="2:9" x14ac:dyDescent="0.25">
      <c r="B490" s="24">
        <v>43950</v>
      </c>
      <c r="C490" s="23" t="s">
        <v>95</v>
      </c>
      <c r="D490" s="23" t="s">
        <v>96</v>
      </c>
      <c r="E490" s="25">
        <v>3036</v>
      </c>
      <c r="F490" s="23" t="s">
        <v>97</v>
      </c>
      <c r="G490" s="23" t="s">
        <v>98</v>
      </c>
      <c r="H490" s="23">
        <v>27</v>
      </c>
      <c r="I490" s="26">
        <v>45.36</v>
      </c>
    </row>
    <row r="491" spans="2:9" x14ac:dyDescent="0.25">
      <c r="B491" s="24">
        <v>43950</v>
      </c>
      <c r="C491" s="23" t="s">
        <v>95</v>
      </c>
      <c r="D491" s="23" t="s">
        <v>101</v>
      </c>
      <c r="E491" s="25">
        <v>3000</v>
      </c>
      <c r="F491" s="23" t="s">
        <v>99</v>
      </c>
      <c r="G491" s="23" t="s">
        <v>100</v>
      </c>
      <c r="H491" s="23">
        <v>37</v>
      </c>
      <c r="I491" s="26">
        <v>69.19</v>
      </c>
    </row>
    <row r="492" spans="2:9" x14ac:dyDescent="0.25">
      <c r="B492" s="24">
        <v>43951</v>
      </c>
      <c r="C492" s="23" t="s">
        <v>106</v>
      </c>
      <c r="D492" s="23" t="s">
        <v>108</v>
      </c>
      <c r="E492" s="25">
        <v>3659</v>
      </c>
      <c r="F492" s="23" t="s">
        <v>104</v>
      </c>
      <c r="G492" s="23" t="s">
        <v>105</v>
      </c>
      <c r="H492" s="23">
        <v>53</v>
      </c>
      <c r="I492" s="26">
        <v>93.81</v>
      </c>
    </row>
    <row r="493" spans="2:9" x14ac:dyDescent="0.25">
      <c r="B493" s="24">
        <v>43951</v>
      </c>
      <c r="C493" s="23" t="s">
        <v>95</v>
      </c>
      <c r="D493" s="23" t="s">
        <v>103</v>
      </c>
      <c r="E493" s="25">
        <v>3082</v>
      </c>
      <c r="F493" s="23" t="s">
        <v>97</v>
      </c>
      <c r="G493" s="23" t="s">
        <v>98</v>
      </c>
      <c r="H493" s="23">
        <v>33</v>
      </c>
      <c r="I493" s="26">
        <v>55.44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E441-A275-4B4D-8412-FF100C0153AD}">
  <sheetPr codeName="Sheet6"/>
  <dimension ref="B2:P12"/>
  <sheetViews>
    <sheetView zoomScale="150" zoomScaleNormal="150" workbookViewId="0">
      <selection activeCell="B2" sqref="B2"/>
    </sheetView>
  </sheetViews>
  <sheetFormatPr defaultRowHeight="13.2" x14ac:dyDescent="0.25"/>
  <cols>
    <col min="3" max="3" width="12.33203125" bestFit="1" customWidth="1"/>
    <col min="5" max="16" width="10.21875" bestFit="1" customWidth="1"/>
  </cols>
  <sheetData>
    <row r="2" spans="2:16" x14ac:dyDescent="0.25">
      <c r="B2" t="s">
        <v>116</v>
      </c>
    </row>
    <row r="3" spans="2:16" x14ac:dyDescent="0.25">
      <c r="B3" t="s">
        <v>117</v>
      </c>
    </row>
    <row r="4" spans="2:16" x14ac:dyDescent="0.25">
      <c r="E4" s="27">
        <v>43831</v>
      </c>
      <c r="F4" s="27">
        <v>43862</v>
      </c>
      <c r="G4" s="27">
        <v>43891</v>
      </c>
      <c r="H4" s="27">
        <v>43922</v>
      </c>
      <c r="I4" s="27">
        <v>43952</v>
      </c>
      <c r="J4" s="27">
        <v>43983</v>
      </c>
      <c r="K4" s="27">
        <v>44013</v>
      </c>
      <c r="L4" s="27">
        <v>44044</v>
      </c>
      <c r="M4" s="27">
        <v>44075</v>
      </c>
      <c r="N4" s="27">
        <v>44105</v>
      </c>
      <c r="O4" s="27">
        <v>44136</v>
      </c>
      <c r="P4" s="27">
        <v>44166</v>
      </c>
    </row>
    <row r="5" spans="2:16" x14ac:dyDescent="0.25">
      <c r="C5" s="1" t="s">
        <v>118</v>
      </c>
      <c r="E5" s="29">
        <v>10000</v>
      </c>
      <c r="F5" s="29">
        <v>9700</v>
      </c>
      <c r="G5" s="29">
        <v>9700</v>
      </c>
      <c r="H5" s="29">
        <v>10088</v>
      </c>
      <c r="I5" s="29">
        <v>10289.76</v>
      </c>
      <c r="J5" s="29">
        <v>9775.2720000000008</v>
      </c>
      <c r="K5" s="29">
        <v>9970.7774399999998</v>
      </c>
      <c r="L5" s="29">
        <v>10070.4852144</v>
      </c>
      <c r="M5" s="29">
        <v>9869.0755101119994</v>
      </c>
      <c r="N5" s="29">
        <v>10066.457020314239</v>
      </c>
      <c r="O5" s="29">
        <v>9865.1278799079537</v>
      </c>
      <c r="P5" s="29">
        <v>9865.1278799079537</v>
      </c>
    </row>
    <row r="6" spans="2:16" x14ac:dyDescent="0.25">
      <c r="E6" s="29"/>
      <c r="F6" s="29"/>
      <c r="G6" s="29"/>
      <c r="H6" s="29"/>
      <c r="I6" s="29"/>
      <c r="J6" s="29"/>
      <c r="K6" s="29"/>
      <c r="L6" s="29"/>
      <c r="M6" s="29"/>
      <c r="N6" s="29"/>
      <c r="O6" s="29"/>
      <c r="P6" s="29"/>
    </row>
    <row r="7" spans="2:16" x14ac:dyDescent="0.25">
      <c r="C7" s="1" t="s">
        <v>119</v>
      </c>
      <c r="E7" s="29">
        <v>-6000</v>
      </c>
      <c r="F7" s="29">
        <v>-5700</v>
      </c>
      <c r="G7" s="29">
        <v>-5814</v>
      </c>
      <c r="H7" s="29">
        <v>-5697.72</v>
      </c>
      <c r="I7" s="29">
        <v>-5526.7883999999995</v>
      </c>
      <c r="J7" s="29">
        <v>-5526.7883999999995</v>
      </c>
      <c r="K7" s="29">
        <v>-5305.716864</v>
      </c>
      <c r="L7" s="29">
        <v>-5199.6025267199993</v>
      </c>
      <c r="M7" s="29">
        <v>-5459.5826530559989</v>
      </c>
      <c r="N7" s="29">
        <v>-5514.1784795865588</v>
      </c>
      <c r="O7" s="29">
        <v>-5293.6113404030957</v>
      </c>
      <c r="P7" s="29">
        <v>-5028.930773382941</v>
      </c>
    </row>
    <row r="9" spans="2:16" x14ac:dyDescent="0.25">
      <c r="C9" s="1" t="s">
        <v>120</v>
      </c>
      <c r="E9" s="29">
        <v>4000</v>
      </c>
      <c r="F9" s="29">
        <v>4000</v>
      </c>
      <c r="G9" s="29">
        <v>3886</v>
      </c>
      <c r="H9" s="29">
        <v>4390.28</v>
      </c>
      <c r="I9" s="29">
        <v>4762.9716000000008</v>
      </c>
      <c r="J9" s="29">
        <v>4248.4836000000014</v>
      </c>
      <c r="K9" s="29">
        <v>4665.0605759999999</v>
      </c>
      <c r="L9" s="29">
        <v>4870.8826876800003</v>
      </c>
      <c r="M9" s="29">
        <v>4409.4928570560005</v>
      </c>
      <c r="N9" s="29">
        <v>4552.2785407276806</v>
      </c>
      <c r="O9" s="29">
        <v>4571.516539504858</v>
      </c>
      <c r="P9" s="29">
        <v>4836.1971065250127</v>
      </c>
    </row>
    <row r="11" spans="2:16" x14ac:dyDescent="0.25">
      <c r="B11" t="s">
        <v>121</v>
      </c>
    </row>
    <row r="12" spans="2:16" x14ac:dyDescent="0.25">
      <c r="B12" t="s">
        <v>122</v>
      </c>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BB1A6B20-1738-471D-B590-19F0A26F361F}">
          <x14:colorSeries rgb="FF376092"/>
          <x14:colorNegative rgb="FFD00000"/>
          <x14:colorAxis rgb="FF000000"/>
          <x14:colorMarkers rgb="FFD00000"/>
          <x14:colorFirst rgb="FFD00000"/>
          <x14:colorLast rgb="FFD00000"/>
          <x14:colorHigh rgb="FFD00000"/>
          <x14:colorLow rgb="FFD00000"/>
          <x14:sparklines>
            <x14:sparkline>
              <xm:f>'5 - Sparklines'!E9:P9</xm:f>
              <xm:sqref>D9</xm:sqref>
            </x14:sparkline>
            <x14:sparkline>
              <xm:f>'5 - Sparklines'!E7:P7</xm:f>
              <xm:sqref>D7</xm:sqref>
            </x14:sparkline>
            <x14:sparkline>
              <xm:f>'5 - Sparklines'!E5:P5</xm:f>
              <xm:sqref>D5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45CE-FFD0-4E39-8804-058F30003DF6}">
  <dimension ref="B2:F198"/>
  <sheetViews>
    <sheetView zoomScale="150" zoomScaleNormal="150" workbookViewId="0">
      <selection activeCell="B2" sqref="B2"/>
    </sheetView>
  </sheetViews>
  <sheetFormatPr defaultColWidth="8.88671875" defaultRowHeight="13.2" x14ac:dyDescent="0.25"/>
  <cols>
    <col min="1" max="1" width="8.88671875" style="30"/>
    <col min="2" max="2" width="9.5546875" style="30" bestFit="1" customWidth="1"/>
    <col min="3" max="3" width="27.6640625" style="30" bestFit="1" customWidth="1"/>
    <col min="4" max="4" width="20" style="30" bestFit="1" customWidth="1"/>
    <col min="5" max="5" width="15.5546875" style="30" bestFit="1" customWidth="1"/>
    <col min="6" max="6" width="18.6640625" style="30" customWidth="1"/>
    <col min="7" max="16384" width="8.88671875" style="30"/>
  </cols>
  <sheetData>
    <row r="2" spans="2:6" x14ac:dyDescent="0.25">
      <c r="B2" s="30" t="s">
        <v>129</v>
      </c>
    </row>
    <row r="3" spans="2:6" x14ac:dyDescent="0.25">
      <c r="D3" s="30" t="s">
        <v>130</v>
      </c>
      <c r="E3" s="30" t="s">
        <v>131</v>
      </c>
    </row>
    <row r="4" spans="2:6" x14ac:dyDescent="0.25">
      <c r="C4" s="30" t="s">
        <v>128</v>
      </c>
      <c r="D4" s="31">
        <v>200000</v>
      </c>
      <c r="E4" s="31">
        <f>PV(D6/12,D7,D5)</f>
        <v>200000.31388046226</v>
      </c>
    </row>
    <row r="5" spans="2:6" x14ac:dyDescent="0.25">
      <c r="C5" s="35" t="s">
        <v>157</v>
      </c>
      <c r="D5" s="31">
        <v>-1600</v>
      </c>
      <c r="E5" s="31">
        <f>PMT(D6/12,D7,D4)</f>
        <v>-1599.9974889602656</v>
      </c>
    </row>
    <row r="6" spans="2:6" x14ac:dyDescent="0.25">
      <c r="C6" s="35" t="s">
        <v>156</v>
      </c>
      <c r="D6" s="32">
        <v>5.5100000000000003E-2</v>
      </c>
      <c r="E6" s="32">
        <f>RATE(D7,D5,D4)*12</f>
        <v>5.510023490925714E-2</v>
      </c>
    </row>
    <row r="7" spans="2:6" x14ac:dyDescent="0.25">
      <c r="C7" s="30" t="s">
        <v>158</v>
      </c>
      <c r="D7" s="33">
        <f>SUM(LoanCalculator[Repayment])/D5</f>
        <v>186.24557499999992</v>
      </c>
      <c r="E7" s="33">
        <f>NPER(D6/12,D5,D4)</f>
        <v>186.24511348284318</v>
      </c>
    </row>
    <row r="8" spans="2:6" x14ac:dyDescent="0.25">
      <c r="C8" s="30" t="s">
        <v>132</v>
      </c>
      <c r="D8" s="31" cm="1">
        <f t="array" ref="D8">INDEX(LoanCalculator[Closing balance],C9)</f>
        <v>193040.75000000003</v>
      </c>
      <c r="E8" s="31">
        <f>D4+D5*C9-CUMIPMT(D6/12,D7,D4,1,C9,0)</f>
        <v>193040.74592652399</v>
      </c>
      <c r="F8" s="31">
        <f>-IPMT(D6/12,C9+1,D7,D4,,0)/(D6/12)</f>
        <v>193040.7710369213</v>
      </c>
    </row>
    <row r="9" spans="2:6" x14ac:dyDescent="0.25">
      <c r="C9" s="30">
        <v>10</v>
      </c>
    </row>
    <row r="11" spans="2:6" x14ac:dyDescent="0.25">
      <c r="B11" s="30" t="s">
        <v>123</v>
      </c>
      <c r="C11" s="30" t="s">
        <v>124</v>
      </c>
      <c r="D11" s="30" t="s">
        <v>125</v>
      </c>
      <c r="E11" s="30" t="s">
        <v>126</v>
      </c>
      <c r="F11" s="30" t="s">
        <v>127</v>
      </c>
    </row>
    <row r="12" spans="2:6" x14ac:dyDescent="0.25">
      <c r="B12" s="30">
        <f>ROW()-ROW(LoanCalculator[[#Headers],[Period]])</f>
        <v>1</v>
      </c>
      <c r="C12" s="34">
        <f>D4</f>
        <v>200000</v>
      </c>
      <c r="D12" s="34">
        <f>ROUND(LoanCalculator[[#This Row],[Opening balance]]*$D$6/12,2)</f>
        <v>918.33</v>
      </c>
      <c r="E12" s="34">
        <f>MAX($D$5,-LoanCalculator[[#This Row],[Opening balance]]-LoanCalculator[[#This Row],[Interest]])</f>
        <v>-1600</v>
      </c>
      <c r="F12" s="34">
        <f>SUM(LoanCalculator[[#This Row],[Opening balance]:[Repayment]])</f>
        <v>199318.33</v>
      </c>
    </row>
    <row r="13" spans="2:6" x14ac:dyDescent="0.25">
      <c r="B13" s="30">
        <f>ROW()-ROW(LoanCalculator[[#Headers],[Period]])</f>
        <v>2</v>
      </c>
      <c r="C13" s="34">
        <f t="shared" ref="C13:C76" si="0">F12</f>
        <v>199318.33</v>
      </c>
      <c r="D13" s="34">
        <f>ROUND(LoanCalculator[[#This Row],[Opening balance]]*$D$6/12,2)</f>
        <v>915.2</v>
      </c>
      <c r="E13" s="34">
        <f>MAX($D$5,-LoanCalculator[[#This Row],[Opening balance]]-LoanCalculator[[#This Row],[Interest]])</f>
        <v>-1600</v>
      </c>
      <c r="F13" s="34">
        <f>SUM(LoanCalculator[[#This Row],[Opening balance]:[Repayment]])</f>
        <v>198633.53</v>
      </c>
    </row>
    <row r="14" spans="2:6" x14ac:dyDescent="0.25">
      <c r="B14" s="30">
        <f>ROW()-ROW(LoanCalculator[[#Headers],[Period]])</f>
        <v>3</v>
      </c>
      <c r="C14" s="34">
        <f t="shared" si="0"/>
        <v>198633.53</v>
      </c>
      <c r="D14" s="34">
        <f>ROUND(LoanCalculator[[#This Row],[Opening balance]]*$D$6/12,2)</f>
        <v>912.06</v>
      </c>
      <c r="E14" s="34">
        <f>MAX($D$5,-LoanCalculator[[#This Row],[Opening balance]]-LoanCalculator[[#This Row],[Interest]])</f>
        <v>-1600</v>
      </c>
      <c r="F14" s="34">
        <f>SUM(LoanCalculator[[#This Row],[Opening balance]:[Repayment]])</f>
        <v>197945.59</v>
      </c>
    </row>
    <row r="15" spans="2:6" x14ac:dyDescent="0.25">
      <c r="B15" s="30">
        <f>ROW()-ROW(LoanCalculator[[#Headers],[Period]])</f>
        <v>4</v>
      </c>
      <c r="C15" s="34">
        <f t="shared" si="0"/>
        <v>197945.59</v>
      </c>
      <c r="D15" s="34">
        <f>ROUND(LoanCalculator[[#This Row],[Opening balance]]*$D$6/12,2)</f>
        <v>908.9</v>
      </c>
      <c r="E15" s="34">
        <f>MAX($D$5,-LoanCalculator[[#This Row],[Opening balance]]-LoanCalculator[[#This Row],[Interest]])</f>
        <v>-1600</v>
      </c>
      <c r="F15" s="34">
        <f>SUM(LoanCalculator[[#This Row],[Opening balance]:[Repayment]])</f>
        <v>197254.49</v>
      </c>
    </row>
    <row r="16" spans="2:6" x14ac:dyDescent="0.25">
      <c r="B16" s="30">
        <f>ROW()-ROW(LoanCalculator[[#Headers],[Period]])</f>
        <v>5</v>
      </c>
      <c r="C16" s="34">
        <f t="shared" si="0"/>
        <v>197254.49</v>
      </c>
      <c r="D16" s="34">
        <f>ROUND(LoanCalculator[[#This Row],[Opening balance]]*$D$6/12,2)</f>
        <v>905.73</v>
      </c>
      <c r="E16" s="34">
        <f>MAX($D$5,-LoanCalculator[[#This Row],[Opening balance]]-LoanCalculator[[#This Row],[Interest]])</f>
        <v>-1600</v>
      </c>
      <c r="F16" s="34">
        <f>SUM(LoanCalculator[[#This Row],[Opening balance]:[Repayment]])</f>
        <v>196560.22</v>
      </c>
    </row>
    <row r="17" spans="2:6" x14ac:dyDescent="0.25">
      <c r="B17" s="30">
        <f>ROW()-ROW(LoanCalculator[[#Headers],[Period]])</f>
        <v>6</v>
      </c>
      <c r="C17" s="34">
        <f t="shared" si="0"/>
        <v>196560.22</v>
      </c>
      <c r="D17" s="34">
        <f>ROUND(LoanCalculator[[#This Row],[Opening balance]]*$D$6/12,2)</f>
        <v>902.54</v>
      </c>
      <c r="E17" s="34">
        <f>MAX($D$5,-LoanCalculator[[#This Row],[Opening balance]]-LoanCalculator[[#This Row],[Interest]])</f>
        <v>-1600</v>
      </c>
      <c r="F17" s="34">
        <f>SUM(LoanCalculator[[#This Row],[Opening balance]:[Repayment]])</f>
        <v>195862.76</v>
      </c>
    </row>
    <row r="18" spans="2:6" x14ac:dyDescent="0.25">
      <c r="B18" s="30">
        <f>ROW()-ROW(LoanCalculator[[#Headers],[Period]])</f>
        <v>7</v>
      </c>
      <c r="C18" s="34">
        <f t="shared" si="0"/>
        <v>195862.76</v>
      </c>
      <c r="D18" s="34">
        <f>ROUND(LoanCalculator[[#This Row],[Opening balance]]*$D$6/12,2)</f>
        <v>899.34</v>
      </c>
      <c r="E18" s="34">
        <f>MAX($D$5,-LoanCalculator[[#This Row],[Opening balance]]-LoanCalculator[[#This Row],[Interest]])</f>
        <v>-1600</v>
      </c>
      <c r="F18" s="34">
        <f>SUM(LoanCalculator[[#This Row],[Opening balance]:[Repayment]])</f>
        <v>195162.1</v>
      </c>
    </row>
    <row r="19" spans="2:6" x14ac:dyDescent="0.25">
      <c r="B19" s="30">
        <f>ROW()-ROW(LoanCalculator[[#Headers],[Period]])</f>
        <v>8</v>
      </c>
      <c r="C19" s="34">
        <f t="shared" si="0"/>
        <v>195162.1</v>
      </c>
      <c r="D19" s="34">
        <f>ROUND(LoanCalculator[[#This Row],[Opening balance]]*$D$6/12,2)</f>
        <v>896.12</v>
      </c>
      <c r="E19" s="34">
        <f>MAX($D$5,-LoanCalculator[[#This Row],[Opening balance]]-LoanCalculator[[#This Row],[Interest]])</f>
        <v>-1600</v>
      </c>
      <c r="F19" s="34">
        <f>SUM(LoanCalculator[[#This Row],[Opening balance]:[Repayment]])</f>
        <v>194458.22</v>
      </c>
    </row>
    <row r="20" spans="2:6" x14ac:dyDescent="0.25">
      <c r="B20" s="30">
        <f>ROW()-ROW(LoanCalculator[[#Headers],[Period]])</f>
        <v>9</v>
      </c>
      <c r="C20" s="34">
        <f t="shared" si="0"/>
        <v>194458.22</v>
      </c>
      <c r="D20" s="34">
        <f>ROUND(LoanCalculator[[#This Row],[Opening balance]]*$D$6/12,2)</f>
        <v>892.89</v>
      </c>
      <c r="E20" s="34">
        <f>MAX($D$5,-LoanCalculator[[#This Row],[Opening balance]]-LoanCalculator[[#This Row],[Interest]])</f>
        <v>-1600</v>
      </c>
      <c r="F20" s="34">
        <f>SUM(LoanCalculator[[#This Row],[Opening balance]:[Repayment]])</f>
        <v>193751.11000000002</v>
      </c>
    </row>
    <row r="21" spans="2:6" x14ac:dyDescent="0.25">
      <c r="B21" s="30">
        <f>ROW()-ROW(LoanCalculator[[#Headers],[Period]])</f>
        <v>10</v>
      </c>
      <c r="C21" s="34">
        <f t="shared" si="0"/>
        <v>193751.11000000002</v>
      </c>
      <c r="D21" s="34">
        <f>ROUND(LoanCalculator[[#This Row],[Opening balance]]*$D$6/12,2)</f>
        <v>889.64</v>
      </c>
      <c r="E21" s="34">
        <f>MAX($D$5,-LoanCalculator[[#This Row],[Opening balance]]-LoanCalculator[[#This Row],[Interest]])</f>
        <v>-1600</v>
      </c>
      <c r="F21" s="34">
        <f>SUM(LoanCalculator[[#This Row],[Opening balance]:[Repayment]])</f>
        <v>193040.75000000003</v>
      </c>
    </row>
    <row r="22" spans="2:6" x14ac:dyDescent="0.25">
      <c r="B22" s="30">
        <f>ROW()-ROW(LoanCalculator[[#Headers],[Period]])</f>
        <v>11</v>
      </c>
      <c r="C22" s="34">
        <f t="shared" si="0"/>
        <v>193040.75000000003</v>
      </c>
      <c r="D22" s="34">
        <f>ROUND(LoanCalculator[[#This Row],[Opening balance]]*$D$6/12,2)</f>
        <v>886.38</v>
      </c>
      <c r="E22" s="34">
        <f>MAX($D$5,-LoanCalculator[[#This Row],[Opening balance]]-LoanCalculator[[#This Row],[Interest]])</f>
        <v>-1600</v>
      </c>
      <c r="F22" s="34">
        <f>SUM(LoanCalculator[[#This Row],[Opening balance]:[Repayment]])</f>
        <v>192327.13000000003</v>
      </c>
    </row>
    <row r="23" spans="2:6" x14ac:dyDescent="0.25">
      <c r="B23" s="30">
        <f>ROW()-ROW(LoanCalculator[[#Headers],[Period]])</f>
        <v>12</v>
      </c>
      <c r="C23" s="34">
        <f t="shared" si="0"/>
        <v>192327.13000000003</v>
      </c>
      <c r="D23" s="34">
        <f>ROUND(LoanCalculator[[#This Row],[Opening balance]]*$D$6/12,2)</f>
        <v>883.1</v>
      </c>
      <c r="E23" s="34">
        <f>MAX($D$5,-LoanCalculator[[#This Row],[Opening balance]]-LoanCalculator[[#This Row],[Interest]])</f>
        <v>-1600</v>
      </c>
      <c r="F23" s="34">
        <f>SUM(LoanCalculator[[#This Row],[Opening balance]:[Repayment]])</f>
        <v>191610.23000000004</v>
      </c>
    </row>
    <row r="24" spans="2:6" x14ac:dyDescent="0.25">
      <c r="B24" s="30">
        <f>ROW()-ROW(LoanCalculator[[#Headers],[Period]])</f>
        <v>13</v>
      </c>
      <c r="C24" s="34">
        <f t="shared" si="0"/>
        <v>191610.23000000004</v>
      </c>
      <c r="D24" s="34">
        <f>ROUND(LoanCalculator[[#This Row],[Opening balance]]*$D$6/12,2)</f>
        <v>879.81</v>
      </c>
      <c r="E24" s="34">
        <f>MAX($D$5,-LoanCalculator[[#This Row],[Opening balance]]-LoanCalculator[[#This Row],[Interest]])</f>
        <v>-1600</v>
      </c>
      <c r="F24" s="34">
        <f>SUM(LoanCalculator[[#This Row],[Opening balance]:[Repayment]])</f>
        <v>190890.04000000004</v>
      </c>
    </row>
    <row r="25" spans="2:6" x14ac:dyDescent="0.25">
      <c r="B25" s="30">
        <f>ROW()-ROW(LoanCalculator[[#Headers],[Period]])</f>
        <v>14</v>
      </c>
      <c r="C25" s="34">
        <f t="shared" si="0"/>
        <v>190890.04000000004</v>
      </c>
      <c r="D25" s="34">
        <f>ROUND(LoanCalculator[[#This Row],[Opening balance]]*$D$6/12,2)</f>
        <v>876.5</v>
      </c>
      <c r="E25" s="34">
        <f>MAX($D$5,-LoanCalculator[[#This Row],[Opening balance]]-LoanCalculator[[#This Row],[Interest]])</f>
        <v>-1600</v>
      </c>
      <c r="F25" s="34">
        <f>SUM(LoanCalculator[[#This Row],[Opening balance]:[Repayment]])</f>
        <v>190166.54000000004</v>
      </c>
    </row>
    <row r="26" spans="2:6" x14ac:dyDescent="0.25">
      <c r="B26" s="30">
        <f>ROW()-ROW(LoanCalculator[[#Headers],[Period]])</f>
        <v>15</v>
      </c>
      <c r="C26" s="34">
        <f t="shared" si="0"/>
        <v>190166.54000000004</v>
      </c>
      <c r="D26" s="34">
        <f>ROUND(LoanCalculator[[#This Row],[Opening balance]]*$D$6/12,2)</f>
        <v>873.18</v>
      </c>
      <c r="E26" s="34">
        <f>MAX($D$5,-LoanCalculator[[#This Row],[Opening balance]]-LoanCalculator[[#This Row],[Interest]])</f>
        <v>-1600</v>
      </c>
      <c r="F26" s="34">
        <f>SUM(LoanCalculator[[#This Row],[Opening balance]:[Repayment]])</f>
        <v>189439.72000000003</v>
      </c>
    </row>
    <row r="27" spans="2:6" x14ac:dyDescent="0.25">
      <c r="B27" s="30">
        <f>ROW()-ROW(LoanCalculator[[#Headers],[Period]])</f>
        <v>16</v>
      </c>
      <c r="C27" s="34">
        <f t="shared" si="0"/>
        <v>189439.72000000003</v>
      </c>
      <c r="D27" s="34">
        <f>ROUND(LoanCalculator[[#This Row],[Opening balance]]*$D$6/12,2)</f>
        <v>869.84</v>
      </c>
      <c r="E27" s="34">
        <f>MAX($D$5,-LoanCalculator[[#This Row],[Opening balance]]-LoanCalculator[[#This Row],[Interest]])</f>
        <v>-1600</v>
      </c>
      <c r="F27" s="34">
        <f>SUM(LoanCalculator[[#This Row],[Opening balance]:[Repayment]])</f>
        <v>188709.56000000003</v>
      </c>
    </row>
    <row r="28" spans="2:6" x14ac:dyDescent="0.25">
      <c r="B28" s="30">
        <f>ROW()-ROW(LoanCalculator[[#Headers],[Period]])</f>
        <v>17</v>
      </c>
      <c r="C28" s="34">
        <f t="shared" si="0"/>
        <v>188709.56000000003</v>
      </c>
      <c r="D28" s="34">
        <f>ROUND(LoanCalculator[[#This Row],[Opening balance]]*$D$6/12,2)</f>
        <v>866.49</v>
      </c>
      <c r="E28" s="34">
        <f>MAX($D$5,-LoanCalculator[[#This Row],[Opening balance]]-LoanCalculator[[#This Row],[Interest]])</f>
        <v>-1600</v>
      </c>
      <c r="F28" s="34">
        <f>SUM(LoanCalculator[[#This Row],[Opening balance]:[Repayment]])</f>
        <v>187976.05000000002</v>
      </c>
    </row>
    <row r="29" spans="2:6" x14ac:dyDescent="0.25">
      <c r="B29" s="30">
        <f>ROW()-ROW(LoanCalculator[[#Headers],[Period]])</f>
        <v>18</v>
      </c>
      <c r="C29" s="34">
        <f t="shared" si="0"/>
        <v>187976.05000000002</v>
      </c>
      <c r="D29" s="34">
        <f>ROUND(LoanCalculator[[#This Row],[Opening balance]]*$D$6/12,2)</f>
        <v>863.12</v>
      </c>
      <c r="E29" s="34">
        <f>MAX($D$5,-LoanCalculator[[#This Row],[Opening balance]]-LoanCalculator[[#This Row],[Interest]])</f>
        <v>-1600</v>
      </c>
      <c r="F29" s="34">
        <f>SUM(LoanCalculator[[#This Row],[Opening balance]:[Repayment]])</f>
        <v>187239.17</v>
      </c>
    </row>
    <row r="30" spans="2:6" x14ac:dyDescent="0.25">
      <c r="B30" s="30">
        <f>ROW()-ROW(LoanCalculator[[#Headers],[Period]])</f>
        <v>19</v>
      </c>
      <c r="C30" s="34">
        <f t="shared" si="0"/>
        <v>187239.17</v>
      </c>
      <c r="D30" s="34">
        <f>ROUND(LoanCalculator[[#This Row],[Opening balance]]*$D$6/12,2)</f>
        <v>859.74</v>
      </c>
      <c r="E30" s="34">
        <f>MAX($D$5,-LoanCalculator[[#This Row],[Opening balance]]-LoanCalculator[[#This Row],[Interest]])</f>
        <v>-1600</v>
      </c>
      <c r="F30" s="34">
        <f>SUM(LoanCalculator[[#This Row],[Opening balance]:[Repayment]])</f>
        <v>186498.91</v>
      </c>
    </row>
    <row r="31" spans="2:6" x14ac:dyDescent="0.25">
      <c r="B31" s="30">
        <f>ROW()-ROW(LoanCalculator[[#Headers],[Period]])</f>
        <v>20</v>
      </c>
      <c r="C31" s="34">
        <f t="shared" si="0"/>
        <v>186498.91</v>
      </c>
      <c r="D31" s="34">
        <f>ROUND(LoanCalculator[[#This Row],[Opening balance]]*$D$6/12,2)</f>
        <v>856.34</v>
      </c>
      <c r="E31" s="34">
        <f>MAX($D$5,-LoanCalculator[[#This Row],[Opening balance]]-LoanCalculator[[#This Row],[Interest]])</f>
        <v>-1600</v>
      </c>
      <c r="F31" s="34">
        <f>SUM(LoanCalculator[[#This Row],[Opening balance]:[Repayment]])</f>
        <v>185755.25</v>
      </c>
    </row>
    <row r="32" spans="2:6" x14ac:dyDescent="0.25">
      <c r="B32" s="30">
        <f>ROW()-ROW(LoanCalculator[[#Headers],[Period]])</f>
        <v>21</v>
      </c>
      <c r="C32" s="34">
        <f t="shared" si="0"/>
        <v>185755.25</v>
      </c>
      <c r="D32" s="34">
        <f>ROUND(LoanCalculator[[#This Row],[Opening balance]]*$D$6/12,2)</f>
        <v>852.93</v>
      </c>
      <c r="E32" s="34">
        <f>MAX($D$5,-LoanCalculator[[#This Row],[Opening balance]]-LoanCalculator[[#This Row],[Interest]])</f>
        <v>-1600</v>
      </c>
      <c r="F32" s="34">
        <f>SUM(LoanCalculator[[#This Row],[Opening balance]:[Repayment]])</f>
        <v>185008.18</v>
      </c>
    </row>
    <row r="33" spans="2:6" x14ac:dyDescent="0.25">
      <c r="B33" s="30">
        <f>ROW()-ROW(LoanCalculator[[#Headers],[Period]])</f>
        <v>22</v>
      </c>
      <c r="C33" s="34">
        <f t="shared" si="0"/>
        <v>185008.18</v>
      </c>
      <c r="D33" s="34">
        <f>ROUND(LoanCalculator[[#This Row],[Opening balance]]*$D$6/12,2)</f>
        <v>849.5</v>
      </c>
      <c r="E33" s="34">
        <f>MAX($D$5,-LoanCalculator[[#This Row],[Opening balance]]-LoanCalculator[[#This Row],[Interest]])</f>
        <v>-1600</v>
      </c>
      <c r="F33" s="34">
        <f>SUM(LoanCalculator[[#This Row],[Opening balance]:[Repayment]])</f>
        <v>184257.68</v>
      </c>
    </row>
    <row r="34" spans="2:6" x14ac:dyDescent="0.25">
      <c r="B34" s="30">
        <f>ROW()-ROW(LoanCalculator[[#Headers],[Period]])</f>
        <v>23</v>
      </c>
      <c r="C34" s="34">
        <f t="shared" si="0"/>
        <v>184257.68</v>
      </c>
      <c r="D34" s="34">
        <f>ROUND(LoanCalculator[[#This Row],[Opening balance]]*$D$6/12,2)</f>
        <v>846.05</v>
      </c>
      <c r="E34" s="34">
        <f>MAX($D$5,-LoanCalculator[[#This Row],[Opening balance]]-LoanCalculator[[#This Row],[Interest]])</f>
        <v>-1600</v>
      </c>
      <c r="F34" s="34">
        <f>SUM(LoanCalculator[[#This Row],[Opening balance]:[Repayment]])</f>
        <v>183503.72999999998</v>
      </c>
    </row>
    <row r="35" spans="2:6" x14ac:dyDescent="0.25">
      <c r="B35" s="30">
        <f>ROW()-ROW(LoanCalculator[[#Headers],[Period]])</f>
        <v>24</v>
      </c>
      <c r="C35" s="34">
        <f t="shared" si="0"/>
        <v>183503.72999999998</v>
      </c>
      <c r="D35" s="34">
        <f>ROUND(LoanCalculator[[#This Row],[Opening balance]]*$D$6/12,2)</f>
        <v>842.59</v>
      </c>
      <c r="E35" s="34">
        <f>MAX($D$5,-LoanCalculator[[#This Row],[Opening balance]]-LoanCalculator[[#This Row],[Interest]])</f>
        <v>-1600</v>
      </c>
      <c r="F35" s="34">
        <f>SUM(LoanCalculator[[#This Row],[Opening balance]:[Repayment]])</f>
        <v>182746.31999999998</v>
      </c>
    </row>
    <row r="36" spans="2:6" x14ac:dyDescent="0.25">
      <c r="B36" s="30">
        <f>ROW()-ROW(LoanCalculator[[#Headers],[Period]])</f>
        <v>25</v>
      </c>
      <c r="C36" s="34">
        <f t="shared" si="0"/>
        <v>182746.31999999998</v>
      </c>
      <c r="D36" s="34">
        <f>ROUND(LoanCalculator[[#This Row],[Opening balance]]*$D$6/12,2)</f>
        <v>839.11</v>
      </c>
      <c r="E36" s="34">
        <f>MAX($D$5,-LoanCalculator[[#This Row],[Opening balance]]-LoanCalculator[[#This Row],[Interest]])</f>
        <v>-1600</v>
      </c>
      <c r="F36" s="34">
        <f>SUM(LoanCalculator[[#This Row],[Opening balance]:[Repayment]])</f>
        <v>181985.42999999996</v>
      </c>
    </row>
    <row r="37" spans="2:6" x14ac:dyDescent="0.25">
      <c r="B37" s="30">
        <f>ROW()-ROW(LoanCalculator[[#Headers],[Period]])</f>
        <v>26</v>
      </c>
      <c r="C37" s="34">
        <f t="shared" si="0"/>
        <v>181985.42999999996</v>
      </c>
      <c r="D37" s="34">
        <f>ROUND(LoanCalculator[[#This Row],[Opening balance]]*$D$6/12,2)</f>
        <v>835.62</v>
      </c>
      <c r="E37" s="34">
        <f>MAX($D$5,-LoanCalculator[[#This Row],[Opening balance]]-LoanCalculator[[#This Row],[Interest]])</f>
        <v>-1600</v>
      </c>
      <c r="F37" s="34">
        <f>SUM(LoanCalculator[[#This Row],[Opening balance]:[Repayment]])</f>
        <v>181221.04999999996</v>
      </c>
    </row>
    <row r="38" spans="2:6" x14ac:dyDescent="0.25">
      <c r="B38" s="30">
        <f>ROW()-ROW(LoanCalculator[[#Headers],[Period]])</f>
        <v>27</v>
      </c>
      <c r="C38" s="34">
        <f t="shared" si="0"/>
        <v>181221.04999999996</v>
      </c>
      <c r="D38" s="34">
        <f>ROUND(LoanCalculator[[#This Row],[Opening balance]]*$D$6/12,2)</f>
        <v>832.11</v>
      </c>
      <c r="E38" s="34">
        <f>MAX($D$5,-LoanCalculator[[#This Row],[Opening balance]]-LoanCalculator[[#This Row],[Interest]])</f>
        <v>-1600</v>
      </c>
      <c r="F38" s="34">
        <f>SUM(LoanCalculator[[#This Row],[Opening balance]:[Repayment]])</f>
        <v>180453.15999999995</v>
      </c>
    </row>
    <row r="39" spans="2:6" x14ac:dyDescent="0.25">
      <c r="B39" s="30">
        <f>ROW()-ROW(LoanCalculator[[#Headers],[Period]])</f>
        <v>28</v>
      </c>
      <c r="C39" s="34">
        <f t="shared" si="0"/>
        <v>180453.15999999995</v>
      </c>
      <c r="D39" s="34">
        <f>ROUND(LoanCalculator[[#This Row],[Opening balance]]*$D$6/12,2)</f>
        <v>828.58</v>
      </c>
      <c r="E39" s="34">
        <f>MAX($D$5,-LoanCalculator[[#This Row],[Opening balance]]-LoanCalculator[[#This Row],[Interest]])</f>
        <v>-1600</v>
      </c>
      <c r="F39" s="34">
        <f>SUM(LoanCalculator[[#This Row],[Opening balance]:[Repayment]])</f>
        <v>179681.73999999993</v>
      </c>
    </row>
    <row r="40" spans="2:6" x14ac:dyDescent="0.25">
      <c r="B40" s="30">
        <f>ROW()-ROW(LoanCalculator[[#Headers],[Period]])</f>
        <v>29</v>
      </c>
      <c r="C40" s="34">
        <f t="shared" si="0"/>
        <v>179681.73999999993</v>
      </c>
      <c r="D40" s="34">
        <f>ROUND(LoanCalculator[[#This Row],[Opening balance]]*$D$6/12,2)</f>
        <v>825.04</v>
      </c>
      <c r="E40" s="34">
        <f>MAX($D$5,-LoanCalculator[[#This Row],[Opening balance]]-LoanCalculator[[#This Row],[Interest]])</f>
        <v>-1600</v>
      </c>
      <c r="F40" s="34">
        <f>SUM(LoanCalculator[[#This Row],[Opening balance]:[Repayment]])</f>
        <v>178906.77999999994</v>
      </c>
    </row>
    <row r="41" spans="2:6" x14ac:dyDescent="0.25">
      <c r="B41" s="30">
        <f>ROW()-ROW(LoanCalculator[[#Headers],[Period]])</f>
        <v>30</v>
      </c>
      <c r="C41" s="34">
        <f t="shared" si="0"/>
        <v>178906.77999999994</v>
      </c>
      <c r="D41" s="34">
        <f>ROUND(LoanCalculator[[#This Row],[Opening balance]]*$D$6/12,2)</f>
        <v>821.48</v>
      </c>
      <c r="E41" s="34">
        <f>MAX($D$5,-LoanCalculator[[#This Row],[Opening balance]]-LoanCalculator[[#This Row],[Interest]])</f>
        <v>-1600</v>
      </c>
      <c r="F41" s="34">
        <f>SUM(LoanCalculator[[#This Row],[Opening balance]:[Repayment]])</f>
        <v>178128.25999999995</v>
      </c>
    </row>
    <row r="42" spans="2:6" x14ac:dyDescent="0.25">
      <c r="B42" s="30">
        <f>ROW()-ROW(LoanCalculator[[#Headers],[Period]])</f>
        <v>31</v>
      </c>
      <c r="C42" s="34">
        <f t="shared" si="0"/>
        <v>178128.25999999995</v>
      </c>
      <c r="D42" s="34">
        <f>ROUND(LoanCalculator[[#This Row],[Opening balance]]*$D$6/12,2)</f>
        <v>817.91</v>
      </c>
      <c r="E42" s="34">
        <f>MAX($D$5,-LoanCalculator[[#This Row],[Opening balance]]-LoanCalculator[[#This Row],[Interest]])</f>
        <v>-1600</v>
      </c>
      <c r="F42" s="34">
        <f>SUM(LoanCalculator[[#This Row],[Opening balance]:[Repayment]])</f>
        <v>177346.16999999995</v>
      </c>
    </row>
    <row r="43" spans="2:6" x14ac:dyDescent="0.25">
      <c r="B43" s="30">
        <f>ROW()-ROW(LoanCalculator[[#Headers],[Period]])</f>
        <v>32</v>
      </c>
      <c r="C43" s="34">
        <f t="shared" si="0"/>
        <v>177346.16999999995</v>
      </c>
      <c r="D43" s="34">
        <f>ROUND(LoanCalculator[[#This Row],[Opening balance]]*$D$6/12,2)</f>
        <v>814.31</v>
      </c>
      <c r="E43" s="34">
        <f>MAX($D$5,-LoanCalculator[[#This Row],[Opening balance]]-LoanCalculator[[#This Row],[Interest]])</f>
        <v>-1600</v>
      </c>
      <c r="F43" s="34">
        <f>SUM(LoanCalculator[[#This Row],[Opening balance]:[Repayment]])</f>
        <v>176560.47999999995</v>
      </c>
    </row>
    <row r="44" spans="2:6" x14ac:dyDescent="0.25">
      <c r="B44" s="30">
        <f>ROW()-ROW(LoanCalculator[[#Headers],[Period]])</f>
        <v>33</v>
      </c>
      <c r="C44" s="34">
        <f t="shared" si="0"/>
        <v>176560.47999999995</v>
      </c>
      <c r="D44" s="34">
        <f>ROUND(LoanCalculator[[#This Row],[Opening balance]]*$D$6/12,2)</f>
        <v>810.71</v>
      </c>
      <c r="E44" s="34">
        <f>MAX($D$5,-LoanCalculator[[#This Row],[Opening balance]]-LoanCalculator[[#This Row],[Interest]])</f>
        <v>-1600</v>
      </c>
      <c r="F44" s="34">
        <f>SUM(LoanCalculator[[#This Row],[Opening balance]:[Repayment]])</f>
        <v>175771.18999999994</v>
      </c>
    </row>
    <row r="45" spans="2:6" x14ac:dyDescent="0.25">
      <c r="B45" s="30">
        <f>ROW()-ROW(LoanCalculator[[#Headers],[Period]])</f>
        <v>34</v>
      </c>
      <c r="C45" s="34">
        <f t="shared" si="0"/>
        <v>175771.18999999994</v>
      </c>
      <c r="D45" s="34">
        <f>ROUND(LoanCalculator[[#This Row],[Opening balance]]*$D$6/12,2)</f>
        <v>807.08</v>
      </c>
      <c r="E45" s="34">
        <f>MAX($D$5,-LoanCalculator[[#This Row],[Opening balance]]-LoanCalculator[[#This Row],[Interest]])</f>
        <v>-1600</v>
      </c>
      <c r="F45" s="34">
        <f>SUM(LoanCalculator[[#This Row],[Opening balance]:[Repayment]])</f>
        <v>174978.26999999993</v>
      </c>
    </row>
    <row r="46" spans="2:6" x14ac:dyDescent="0.25">
      <c r="B46" s="30">
        <f>ROW()-ROW(LoanCalculator[[#Headers],[Period]])</f>
        <v>35</v>
      </c>
      <c r="C46" s="34">
        <f t="shared" si="0"/>
        <v>174978.26999999993</v>
      </c>
      <c r="D46" s="34">
        <f>ROUND(LoanCalculator[[#This Row],[Opening balance]]*$D$6/12,2)</f>
        <v>803.44</v>
      </c>
      <c r="E46" s="34">
        <f>MAX($D$5,-LoanCalculator[[#This Row],[Opening balance]]-LoanCalculator[[#This Row],[Interest]])</f>
        <v>-1600</v>
      </c>
      <c r="F46" s="34">
        <f>SUM(LoanCalculator[[#This Row],[Opening balance]:[Repayment]])</f>
        <v>174181.70999999993</v>
      </c>
    </row>
    <row r="47" spans="2:6" x14ac:dyDescent="0.25">
      <c r="B47" s="30">
        <f>ROW()-ROW(LoanCalculator[[#Headers],[Period]])</f>
        <v>36</v>
      </c>
      <c r="C47" s="34">
        <f t="shared" si="0"/>
        <v>174181.70999999993</v>
      </c>
      <c r="D47" s="34">
        <f>ROUND(LoanCalculator[[#This Row],[Opening balance]]*$D$6/12,2)</f>
        <v>799.78</v>
      </c>
      <c r="E47" s="34">
        <f>MAX($D$5,-LoanCalculator[[#This Row],[Opening balance]]-LoanCalculator[[#This Row],[Interest]])</f>
        <v>-1600</v>
      </c>
      <c r="F47" s="34">
        <f>SUM(LoanCalculator[[#This Row],[Opening balance]:[Repayment]])</f>
        <v>173381.48999999993</v>
      </c>
    </row>
    <row r="48" spans="2:6" x14ac:dyDescent="0.25">
      <c r="B48" s="30">
        <f>ROW()-ROW(LoanCalculator[[#Headers],[Period]])</f>
        <v>37</v>
      </c>
      <c r="C48" s="34">
        <f t="shared" si="0"/>
        <v>173381.48999999993</v>
      </c>
      <c r="D48" s="34">
        <f>ROUND(LoanCalculator[[#This Row],[Opening balance]]*$D$6/12,2)</f>
        <v>796.11</v>
      </c>
      <c r="E48" s="34">
        <f>MAX($D$5,-LoanCalculator[[#This Row],[Opening balance]]-LoanCalculator[[#This Row],[Interest]])</f>
        <v>-1600</v>
      </c>
      <c r="F48" s="34">
        <f>SUM(LoanCalculator[[#This Row],[Opening balance]:[Repayment]])</f>
        <v>172577.59999999992</v>
      </c>
    </row>
    <row r="49" spans="2:6" x14ac:dyDescent="0.25">
      <c r="B49" s="30">
        <f>ROW()-ROW(LoanCalculator[[#Headers],[Period]])</f>
        <v>38</v>
      </c>
      <c r="C49" s="34">
        <f t="shared" si="0"/>
        <v>172577.59999999992</v>
      </c>
      <c r="D49" s="34">
        <f>ROUND(LoanCalculator[[#This Row],[Opening balance]]*$D$6/12,2)</f>
        <v>792.42</v>
      </c>
      <c r="E49" s="34">
        <f>MAX($D$5,-LoanCalculator[[#This Row],[Opening balance]]-LoanCalculator[[#This Row],[Interest]])</f>
        <v>-1600</v>
      </c>
      <c r="F49" s="34">
        <f>SUM(LoanCalculator[[#This Row],[Opening balance]:[Repayment]])</f>
        <v>171770.01999999993</v>
      </c>
    </row>
    <row r="50" spans="2:6" x14ac:dyDescent="0.25">
      <c r="B50" s="30">
        <f>ROW()-ROW(LoanCalculator[[#Headers],[Period]])</f>
        <v>39</v>
      </c>
      <c r="C50" s="34">
        <f t="shared" si="0"/>
        <v>171770.01999999993</v>
      </c>
      <c r="D50" s="34">
        <f>ROUND(LoanCalculator[[#This Row],[Opening balance]]*$D$6/12,2)</f>
        <v>788.71</v>
      </c>
      <c r="E50" s="34">
        <f>MAX($D$5,-LoanCalculator[[#This Row],[Opening balance]]-LoanCalculator[[#This Row],[Interest]])</f>
        <v>-1600</v>
      </c>
      <c r="F50" s="34">
        <f>SUM(LoanCalculator[[#This Row],[Opening balance]:[Repayment]])</f>
        <v>170958.72999999992</v>
      </c>
    </row>
    <row r="51" spans="2:6" x14ac:dyDescent="0.25">
      <c r="B51" s="30">
        <f>ROW()-ROW(LoanCalculator[[#Headers],[Period]])</f>
        <v>40</v>
      </c>
      <c r="C51" s="34">
        <f t="shared" si="0"/>
        <v>170958.72999999992</v>
      </c>
      <c r="D51" s="34">
        <f>ROUND(LoanCalculator[[#This Row],[Opening balance]]*$D$6/12,2)</f>
        <v>784.99</v>
      </c>
      <c r="E51" s="34">
        <f>MAX($D$5,-LoanCalculator[[#This Row],[Opening balance]]-LoanCalculator[[#This Row],[Interest]])</f>
        <v>-1600</v>
      </c>
      <c r="F51" s="34">
        <f>SUM(LoanCalculator[[#This Row],[Opening balance]:[Repayment]])</f>
        <v>170143.71999999991</v>
      </c>
    </row>
    <row r="52" spans="2:6" x14ac:dyDescent="0.25">
      <c r="B52" s="30">
        <f>ROW()-ROW(LoanCalculator[[#Headers],[Period]])</f>
        <v>41</v>
      </c>
      <c r="C52" s="34">
        <f t="shared" si="0"/>
        <v>170143.71999999991</v>
      </c>
      <c r="D52" s="34">
        <f>ROUND(LoanCalculator[[#This Row],[Opening balance]]*$D$6/12,2)</f>
        <v>781.24</v>
      </c>
      <c r="E52" s="34">
        <f>MAX($D$5,-LoanCalculator[[#This Row],[Opening balance]]-LoanCalculator[[#This Row],[Interest]])</f>
        <v>-1600</v>
      </c>
      <c r="F52" s="34">
        <f>SUM(LoanCalculator[[#This Row],[Opening balance]:[Repayment]])</f>
        <v>169324.9599999999</v>
      </c>
    </row>
    <row r="53" spans="2:6" x14ac:dyDescent="0.25">
      <c r="B53" s="30">
        <f>ROW()-ROW(LoanCalculator[[#Headers],[Period]])</f>
        <v>42</v>
      </c>
      <c r="C53" s="34">
        <f t="shared" si="0"/>
        <v>169324.9599999999</v>
      </c>
      <c r="D53" s="34">
        <f>ROUND(LoanCalculator[[#This Row],[Opening balance]]*$D$6/12,2)</f>
        <v>777.48</v>
      </c>
      <c r="E53" s="34">
        <f>MAX($D$5,-LoanCalculator[[#This Row],[Opening balance]]-LoanCalculator[[#This Row],[Interest]])</f>
        <v>-1600</v>
      </c>
      <c r="F53" s="34">
        <f>SUM(LoanCalculator[[#This Row],[Opening balance]:[Repayment]])</f>
        <v>168502.43999999992</v>
      </c>
    </row>
    <row r="54" spans="2:6" x14ac:dyDescent="0.25">
      <c r="B54" s="30">
        <f>ROW()-ROW(LoanCalculator[[#Headers],[Period]])</f>
        <v>43</v>
      </c>
      <c r="C54" s="34">
        <f t="shared" si="0"/>
        <v>168502.43999999992</v>
      </c>
      <c r="D54" s="34">
        <f>ROUND(LoanCalculator[[#This Row],[Opening balance]]*$D$6/12,2)</f>
        <v>773.71</v>
      </c>
      <c r="E54" s="34">
        <f>MAX($D$5,-LoanCalculator[[#This Row],[Opening balance]]-LoanCalculator[[#This Row],[Interest]])</f>
        <v>-1600</v>
      </c>
      <c r="F54" s="34">
        <f>SUM(LoanCalculator[[#This Row],[Opening balance]:[Repayment]])</f>
        <v>167676.14999999991</v>
      </c>
    </row>
    <row r="55" spans="2:6" x14ac:dyDescent="0.25">
      <c r="B55" s="30">
        <f>ROW()-ROW(LoanCalculator[[#Headers],[Period]])</f>
        <v>44</v>
      </c>
      <c r="C55" s="34">
        <f t="shared" si="0"/>
        <v>167676.14999999991</v>
      </c>
      <c r="D55" s="34">
        <f>ROUND(LoanCalculator[[#This Row],[Opening balance]]*$D$6/12,2)</f>
        <v>769.91</v>
      </c>
      <c r="E55" s="34">
        <f>MAX($D$5,-LoanCalculator[[#This Row],[Opening balance]]-LoanCalculator[[#This Row],[Interest]])</f>
        <v>-1600</v>
      </c>
      <c r="F55" s="34">
        <f>SUM(LoanCalculator[[#This Row],[Opening balance]:[Repayment]])</f>
        <v>166846.05999999991</v>
      </c>
    </row>
    <row r="56" spans="2:6" x14ac:dyDescent="0.25">
      <c r="B56" s="30">
        <f>ROW()-ROW(LoanCalculator[[#Headers],[Period]])</f>
        <v>45</v>
      </c>
      <c r="C56" s="34">
        <f t="shared" si="0"/>
        <v>166846.05999999991</v>
      </c>
      <c r="D56" s="34">
        <f>ROUND(LoanCalculator[[#This Row],[Opening balance]]*$D$6/12,2)</f>
        <v>766.1</v>
      </c>
      <c r="E56" s="34">
        <f>MAX($D$5,-LoanCalculator[[#This Row],[Opening balance]]-LoanCalculator[[#This Row],[Interest]])</f>
        <v>-1600</v>
      </c>
      <c r="F56" s="34">
        <f>SUM(LoanCalculator[[#This Row],[Opening balance]:[Repayment]])</f>
        <v>166012.15999999992</v>
      </c>
    </row>
    <row r="57" spans="2:6" x14ac:dyDescent="0.25">
      <c r="B57" s="30">
        <f>ROW()-ROW(LoanCalculator[[#Headers],[Period]])</f>
        <v>46</v>
      </c>
      <c r="C57" s="34">
        <f t="shared" si="0"/>
        <v>166012.15999999992</v>
      </c>
      <c r="D57" s="34">
        <f>ROUND(LoanCalculator[[#This Row],[Opening balance]]*$D$6/12,2)</f>
        <v>762.27</v>
      </c>
      <c r="E57" s="34">
        <f>MAX($D$5,-LoanCalculator[[#This Row],[Opening balance]]-LoanCalculator[[#This Row],[Interest]])</f>
        <v>-1600</v>
      </c>
      <c r="F57" s="34">
        <f>SUM(LoanCalculator[[#This Row],[Opening balance]:[Repayment]])</f>
        <v>165174.42999999991</v>
      </c>
    </row>
    <row r="58" spans="2:6" x14ac:dyDescent="0.25">
      <c r="B58" s="30">
        <f>ROW()-ROW(LoanCalculator[[#Headers],[Period]])</f>
        <v>47</v>
      </c>
      <c r="C58" s="34">
        <f t="shared" si="0"/>
        <v>165174.42999999991</v>
      </c>
      <c r="D58" s="34">
        <f>ROUND(LoanCalculator[[#This Row],[Opening balance]]*$D$6/12,2)</f>
        <v>758.43</v>
      </c>
      <c r="E58" s="34">
        <f>MAX($D$5,-LoanCalculator[[#This Row],[Opening balance]]-LoanCalculator[[#This Row],[Interest]])</f>
        <v>-1600</v>
      </c>
      <c r="F58" s="34">
        <f>SUM(LoanCalculator[[#This Row],[Opening balance]:[Repayment]])</f>
        <v>164332.8599999999</v>
      </c>
    </row>
    <row r="59" spans="2:6" x14ac:dyDescent="0.25">
      <c r="B59" s="30">
        <f>ROW()-ROW(LoanCalculator[[#Headers],[Period]])</f>
        <v>48</v>
      </c>
      <c r="C59" s="34">
        <f t="shared" si="0"/>
        <v>164332.8599999999</v>
      </c>
      <c r="D59" s="34">
        <f>ROUND(LoanCalculator[[#This Row],[Opening balance]]*$D$6/12,2)</f>
        <v>754.56</v>
      </c>
      <c r="E59" s="34">
        <f>MAX($D$5,-LoanCalculator[[#This Row],[Opening balance]]-LoanCalculator[[#This Row],[Interest]])</f>
        <v>-1600</v>
      </c>
      <c r="F59" s="34">
        <f>SUM(LoanCalculator[[#This Row],[Opening balance]:[Repayment]])</f>
        <v>163487.4199999999</v>
      </c>
    </row>
    <row r="60" spans="2:6" x14ac:dyDescent="0.25">
      <c r="B60" s="30">
        <f>ROW()-ROW(LoanCalculator[[#Headers],[Period]])</f>
        <v>49</v>
      </c>
      <c r="C60" s="34">
        <f t="shared" si="0"/>
        <v>163487.4199999999</v>
      </c>
      <c r="D60" s="34">
        <f>ROUND(LoanCalculator[[#This Row],[Opening balance]]*$D$6/12,2)</f>
        <v>750.68</v>
      </c>
      <c r="E60" s="34">
        <f>MAX($D$5,-LoanCalculator[[#This Row],[Opening balance]]-LoanCalculator[[#This Row],[Interest]])</f>
        <v>-1600</v>
      </c>
      <c r="F60" s="34">
        <f>SUM(LoanCalculator[[#This Row],[Opening balance]:[Repayment]])</f>
        <v>162638.09999999989</v>
      </c>
    </row>
    <row r="61" spans="2:6" x14ac:dyDescent="0.25">
      <c r="B61" s="30">
        <f>ROW()-ROW(LoanCalculator[[#Headers],[Period]])</f>
        <v>50</v>
      </c>
      <c r="C61" s="34">
        <f t="shared" si="0"/>
        <v>162638.09999999989</v>
      </c>
      <c r="D61" s="34">
        <f>ROUND(LoanCalculator[[#This Row],[Opening balance]]*$D$6/12,2)</f>
        <v>746.78</v>
      </c>
      <c r="E61" s="34">
        <f>MAX($D$5,-LoanCalculator[[#This Row],[Opening balance]]-LoanCalculator[[#This Row],[Interest]])</f>
        <v>-1600</v>
      </c>
      <c r="F61" s="34">
        <f>SUM(LoanCalculator[[#This Row],[Opening balance]:[Repayment]])</f>
        <v>161784.87999999989</v>
      </c>
    </row>
    <row r="62" spans="2:6" x14ac:dyDescent="0.25">
      <c r="B62" s="30">
        <f>ROW()-ROW(LoanCalculator[[#Headers],[Period]])</f>
        <v>51</v>
      </c>
      <c r="C62" s="34">
        <f t="shared" si="0"/>
        <v>161784.87999999989</v>
      </c>
      <c r="D62" s="34">
        <f>ROUND(LoanCalculator[[#This Row],[Opening balance]]*$D$6/12,2)</f>
        <v>742.86</v>
      </c>
      <c r="E62" s="34">
        <f>MAX($D$5,-LoanCalculator[[#This Row],[Opening balance]]-LoanCalculator[[#This Row],[Interest]])</f>
        <v>-1600</v>
      </c>
      <c r="F62" s="34">
        <f>SUM(LoanCalculator[[#This Row],[Opening balance]:[Repayment]])</f>
        <v>160927.73999999987</v>
      </c>
    </row>
    <row r="63" spans="2:6" x14ac:dyDescent="0.25">
      <c r="B63" s="30">
        <f>ROW()-ROW(LoanCalculator[[#Headers],[Period]])</f>
        <v>52</v>
      </c>
      <c r="C63" s="34">
        <f t="shared" si="0"/>
        <v>160927.73999999987</v>
      </c>
      <c r="D63" s="34">
        <f>ROUND(LoanCalculator[[#This Row],[Opening balance]]*$D$6/12,2)</f>
        <v>738.93</v>
      </c>
      <c r="E63" s="34">
        <f>MAX($D$5,-LoanCalculator[[#This Row],[Opening balance]]-LoanCalculator[[#This Row],[Interest]])</f>
        <v>-1600</v>
      </c>
      <c r="F63" s="34">
        <f>SUM(LoanCalculator[[#This Row],[Opening balance]:[Repayment]])</f>
        <v>160066.66999999987</v>
      </c>
    </row>
    <row r="64" spans="2:6" x14ac:dyDescent="0.25">
      <c r="B64" s="30">
        <f>ROW()-ROW(LoanCalculator[[#Headers],[Period]])</f>
        <v>53</v>
      </c>
      <c r="C64" s="34">
        <f t="shared" si="0"/>
        <v>160066.66999999987</v>
      </c>
      <c r="D64" s="34">
        <f>ROUND(LoanCalculator[[#This Row],[Opening balance]]*$D$6/12,2)</f>
        <v>734.97</v>
      </c>
      <c r="E64" s="34">
        <f>MAX($D$5,-LoanCalculator[[#This Row],[Opening balance]]-LoanCalculator[[#This Row],[Interest]])</f>
        <v>-1600</v>
      </c>
      <c r="F64" s="34">
        <f>SUM(LoanCalculator[[#This Row],[Opening balance]:[Repayment]])</f>
        <v>159201.63999999987</v>
      </c>
    </row>
    <row r="65" spans="2:6" x14ac:dyDescent="0.25">
      <c r="B65" s="30">
        <f>ROW()-ROW(LoanCalculator[[#Headers],[Period]])</f>
        <v>54</v>
      </c>
      <c r="C65" s="34">
        <f t="shared" si="0"/>
        <v>159201.63999999987</v>
      </c>
      <c r="D65" s="34">
        <f>ROUND(LoanCalculator[[#This Row],[Opening balance]]*$D$6/12,2)</f>
        <v>731</v>
      </c>
      <c r="E65" s="34">
        <f>MAX($D$5,-LoanCalculator[[#This Row],[Opening balance]]-LoanCalculator[[#This Row],[Interest]])</f>
        <v>-1600</v>
      </c>
      <c r="F65" s="34">
        <f>SUM(LoanCalculator[[#This Row],[Opening balance]:[Repayment]])</f>
        <v>158332.63999999987</v>
      </c>
    </row>
    <row r="66" spans="2:6" x14ac:dyDescent="0.25">
      <c r="B66" s="30">
        <f>ROW()-ROW(LoanCalculator[[#Headers],[Period]])</f>
        <v>55</v>
      </c>
      <c r="C66" s="34">
        <f t="shared" si="0"/>
        <v>158332.63999999987</v>
      </c>
      <c r="D66" s="34">
        <f>ROUND(LoanCalculator[[#This Row],[Opening balance]]*$D$6/12,2)</f>
        <v>727.01</v>
      </c>
      <c r="E66" s="34">
        <f>MAX($D$5,-LoanCalculator[[#This Row],[Opening balance]]-LoanCalculator[[#This Row],[Interest]])</f>
        <v>-1600</v>
      </c>
      <c r="F66" s="34">
        <f>SUM(LoanCalculator[[#This Row],[Opening balance]:[Repayment]])</f>
        <v>157459.64999999988</v>
      </c>
    </row>
    <row r="67" spans="2:6" x14ac:dyDescent="0.25">
      <c r="B67" s="30">
        <f>ROW()-ROW(LoanCalculator[[#Headers],[Period]])</f>
        <v>56</v>
      </c>
      <c r="C67" s="34">
        <f t="shared" si="0"/>
        <v>157459.64999999988</v>
      </c>
      <c r="D67" s="34">
        <f>ROUND(LoanCalculator[[#This Row],[Opening balance]]*$D$6/12,2)</f>
        <v>723</v>
      </c>
      <c r="E67" s="34">
        <f>MAX($D$5,-LoanCalculator[[#This Row],[Opening balance]]-LoanCalculator[[#This Row],[Interest]])</f>
        <v>-1600</v>
      </c>
      <c r="F67" s="34">
        <f>SUM(LoanCalculator[[#This Row],[Opening balance]:[Repayment]])</f>
        <v>156582.64999999988</v>
      </c>
    </row>
    <row r="68" spans="2:6" x14ac:dyDescent="0.25">
      <c r="B68" s="30">
        <f>ROW()-ROW(LoanCalculator[[#Headers],[Period]])</f>
        <v>57</v>
      </c>
      <c r="C68" s="34">
        <f t="shared" si="0"/>
        <v>156582.64999999988</v>
      </c>
      <c r="D68" s="34">
        <f>ROUND(LoanCalculator[[#This Row],[Opening balance]]*$D$6/12,2)</f>
        <v>718.98</v>
      </c>
      <c r="E68" s="34">
        <f>MAX($D$5,-LoanCalculator[[#This Row],[Opening balance]]-LoanCalculator[[#This Row],[Interest]])</f>
        <v>-1600</v>
      </c>
      <c r="F68" s="34">
        <f>SUM(LoanCalculator[[#This Row],[Opening balance]:[Repayment]])</f>
        <v>155701.62999999989</v>
      </c>
    </row>
    <row r="69" spans="2:6" x14ac:dyDescent="0.25">
      <c r="B69" s="30">
        <f>ROW()-ROW(LoanCalculator[[#Headers],[Period]])</f>
        <v>58</v>
      </c>
      <c r="C69" s="34">
        <f t="shared" si="0"/>
        <v>155701.62999999989</v>
      </c>
      <c r="D69" s="34">
        <f>ROUND(LoanCalculator[[#This Row],[Opening balance]]*$D$6/12,2)</f>
        <v>714.93</v>
      </c>
      <c r="E69" s="34">
        <f>MAX($D$5,-LoanCalculator[[#This Row],[Opening balance]]-LoanCalculator[[#This Row],[Interest]])</f>
        <v>-1600</v>
      </c>
      <c r="F69" s="34">
        <f>SUM(LoanCalculator[[#This Row],[Opening balance]:[Repayment]])</f>
        <v>154816.55999999988</v>
      </c>
    </row>
    <row r="70" spans="2:6" x14ac:dyDescent="0.25">
      <c r="B70" s="30">
        <f>ROW()-ROW(LoanCalculator[[#Headers],[Period]])</f>
        <v>59</v>
      </c>
      <c r="C70" s="34">
        <f t="shared" si="0"/>
        <v>154816.55999999988</v>
      </c>
      <c r="D70" s="34">
        <f>ROUND(LoanCalculator[[#This Row],[Opening balance]]*$D$6/12,2)</f>
        <v>710.87</v>
      </c>
      <c r="E70" s="34">
        <f>MAX($D$5,-LoanCalculator[[#This Row],[Opening balance]]-LoanCalculator[[#This Row],[Interest]])</f>
        <v>-1600</v>
      </c>
      <c r="F70" s="34">
        <f>SUM(LoanCalculator[[#This Row],[Opening balance]:[Repayment]])</f>
        <v>153927.42999999988</v>
      </c>
    </row>
    <row r="71" spans="2:6" x14ac:dyDescent="0.25">
      <c r="B71" s="30">
        <f>ROW()-ROW(LoanCalculator[[#Headers],[Period]])</f>
        <v>60</v>
      </c>
      <c r="C71" s="34">
        <f t="shared" si="0"/>
        <v>153927.42999999988</v>
      </c>
      <c r="D71" s="34">
        <f>ROUND(LoanCalculator[[#This Row],[Opening balance]]*$D$6/12,2)</f>
        <v>706.78</v>
      </c>
      <c r="E71" s="34">
        <f>MAX($D$5,-LoanCalculator[[#This Row],[Opening balance]]-LoanCalculator[[#This Row],[Interest]])</f>
        <v>-1600</v>
      </c>
      <c r="F71" s="34">
        <f>SUM(LoanCalculator[[#This Row],[Opening balance]:[Repayment]])</f>
        <v>153034.20999999988</v>
      </c>
    </row>
    <row r="72" spans="2:6" x14ac:dyDescent="0.25">
      <c r="B72" s="30">
        <f>ROW()-ROW(LoanCalculator[[#Headers],[Period]])</f>
        <v>61</v>
      </c>
      <c r="C72" s="34">
        <f t="shared" si="0"/>
        <v>153034.20999999988</v>
      </c>
      <c r="D72" s="34">
        <f>ROUND(LoanCalculator[[#This Row],[Opening balance]]*$D$6/12,2)</f>
        <v>702.68</v>
      </c>
      <c r="E72" s="34">
        <f>MAX($D$5,-LoanCalculator[[#This Row],[Opening balance]]-LoanCalculator[[#This Row],[Interest]])</f>
        <v>-1600</v>
      </c>
      <c r="F72" s="34">
        <f>SUM(LoanCalculator[[#This Row],[Opening balance]:[Repayment]])</f>
        <v>152136.88999999987</v>
      </c>
    </row>
    <row r="73" spans="2:6" x14ac:dyDescent="0.25">
      <c r="B73" s="30">
        <f>ROW()-ROW(LoanCalculator[[#Headers],[Period]])</f>
        <v>62</v>
      </c>
      <c r="C73" s="34">
        <f t="shared" si="0"/>
        <v>152136.88999999987</v>
      </c>
      <c r="D73" s="34">
        <f>ROUND(LoanCalculator[[#This Row],[Opening balance]]*$D$6/12,2)</f>
        <v>698.56</v>
      </c>
      <c r="E73" s="34">
        <f>MAX($D$5,-LoanCalculator[[#This Row],[Opening balance]]-LoanCalculator[[#This Row],[Interest]])</f>
        <v>-1600</v>
      </c>
      <c r="F73" s="34">
        <f>SUM(LoanCalculator[[#This Row],[Opening balance]:[Repayment]])</f>
        <v>151235.44999999987</v>
      </c>
    </row>
    <row r="74" spans="2:6" x14ac:dyDescent="0.25">
      <c r="B74" s="30">
        <f>ROW()-ROW(LoanCalculator[[#Headers],[Period]])</f>
        <v>63</v>
      </c>
      <c r="C74" s="34">
        <f t="shared" si="0"/>
        <v>151235.44999999987</v>
      </c>
      <c r="D74" s="34">
        <f>ROUND(LoanCalculator[[#This Row],[Opening balance]]*$D$6/12,2)</f>
        <v>694.42</v>
      </c>
      <c r="E74" s="34">
        <f>MAX($D$5,-LoanCalculator[[#This Row],[Opening balance]]-LoanCalculator[[#This Row],[Interest]])</f>
        <v>-1600</v>
      </c>
      <c r="F74" s="34">
        <f>SUM(LoanCalculator[[#This Row],[Opening balance]:[Repayment]])</f>
        <v>150329.86999999988</v>
      </c>
    </row>
    <row r="75" spans="2:6" x14ac:dyDescent="0.25">
      <c r="B75" s="30">
        <f>ROW()-ROW(LoanCalculator[[#Headers],[Period]])</f>
        <v>64</v>
      </c>
      <c r="C75" s="34">
        <f t="shared" si="0"/>
        <v>150329.86999999988</v>
      </c>
      <c r="D75" s="34">
        <f>ROUND(LoanCalculator[[#This Row],[Opening balance]]*$D$6/12,2)</f>
        <v>690.26</v>
      </c>
      <c r="E75" s="34">
        <f>MAX($D$5,-LoanCalculator[[#This Row],[Opening balance]]-LoanCalculator[[#This Row],[Interest]])</f>
        <v>-1600</v>
      </c>
      <c r="F75" s="34">
        <f>SUM(LoanCalculator[[#This Row],[Opening balance]:[Repayment]])</f>
        <v>149420.12999999989</v>
      </c>
    </row>
    <row r="76" spans="2:6" x14ac:dyDescent="0.25">
      <c r="B76" s="30">
        <f>ROW()-ROW(LoanCalculator[[#Headers],[Period]])</f>
        <v>65</v>
      </c>
      <c r="C76" s="34">
        <f t="shared" si="0"/>
        <v>149420.12999999989</v>
      </c>
      <c r="D76" s="34">
        <f>ROUND(LoanCalculator[[#This Row],[Opening balance]]*$D$6/12,2)</f>
        <v>686.09</v>
      </c>
      <c r="E76" s="34">
        <f>MAX($D$5,-LoanCalculator[[#This Row],[Opening balance]]-LoanCalculator[[#This Row],[Interest]])</f>
        <v>-1600</v>
      </c>
      <c r="F76" s="34">
        <f>SUM(LoanCalculator[[#This Row],[Opening balance]:[Repayment]])</f>
        <v>148506.21999999988</v>
      </c>
    </row>
    <row r="77" spans="2:6" x14ac:dyDescent="0.25">
      <c r="B77" s="30">
        <f>ROW()-ROW(LoanCalculator[[#Headers],[Period]])</f>
        <v>66</v>
      </c>
      <c r="C77" s="34">
        <f t="shared" ref="C77:C140" si="1">F76</f>
        <v>148506.21999999988</v>
      </c>
      <c r="D77" s="34">
        <f>ROUND(LoanCalculator[[#This Row],[Opening balance]]*$D$6/12,2)</f>
        <v>681.89</v>
      </c>
      <c r="E77" s="34">
        <f>MAX($D$5,-LoanCalculator[[#This Row],[Opening balance]]-LoanCalculator[[#This Row],[Interest]])</f>
        <v>-1600</v>
      </c>
      <c r="F77" s="34">
        <f>SUM(LoanCalculator[[#This Row],[Opening balance]:[Repayment]])</f>
        <v>147588.1099999999</v>
      </c>
    </row>
    <row r="78" spans="2:6" x14ac:dyDescent="0.25">
      <c r="B78" s="30">
        <f>ROW()-ROW(LoanCalculator[[#Headers],[Period]])</f>
        <v>67</v>
      </c>
      <c r="C78" s="34">
        <f t="shared" si="1"/>
        <v>147588.1099999999</v>
      </c>
      <c r="D78" s="34">
        <f>ROUND(LoanCalculator[[#This Row],[Opening balance]]*$D$6/12,2)</f>
        <v>677.68</v>
      </c>
      <c r="E78" s="34">
        <f>MAX($D$5,-LoanCalculator[[#This Row],[Opening balance]]-LoanCalculator[[#This Row],[Interest]])</f>
        <v>-1600</v>
      </c>
      <c r="F78" s="34">
        <f>SUM(LoanCalculator[[#This Row],[Opening balance]:[Repayment]])</f>
        <v>146665.78999999989</v>
      </c>
    </row>
    <row r="79" spans="2:6" x14ac:dyDescent="0.25">
      <c r="B79" s="30">
        <f>ROW()-ROW(LoanCalculator[[#Headers],[Period]])</f>
        <v>68</v>
      </c>
      <c r="C79" s="34">
        <f t="shared" si="1"/>
        <v>146665.78999999989</v>
      </c>
      <c r="D79" s="34">
        <f>ROUND(LoanCalculator[[#This Row],[Opening balance]]*$D$6/12,2)</f>
        <v>673.44</v>
      </c>
      <c r="E79" s="34">
        <f>MAX($D$5,-LoanCalculator[[#This Row],[Opening balance]]-LoanCalculator[[#This Row],[Interest]])</f>
        <v>-1600</v>
      </c>
      <c r="F79" s="34">
        <f>SUM(LoanCalculator[[#This Row],[Opening balance]:[Repayment]])</f>
        <v>145739.22999999989</v>
      </c>
    </row>
    <row r="80" spans="2:6" x14ac:dyDescent="0.25">
      <c r="B80" s="30">
        <f>ROW()-ROW(LoanCalculator[[#Headers],[Period]])</f>
        <v>69</v>
      </c>
      <c r="C80" s="34">
        <f t="shared" si="1"/>
        <v>145739.22999999989</v>
      </c>
      <c r="D80" s="34">
        <f>ROUND(LoanCalculator[[#This Row],[Opening balance]]*$D$6/12,2)</f>
        <v>669.19</v>
      </c>
      <c r="E80" s="34">
        <f>MAX($D$5,-LoanCalculator[[#This Row],[Opening balance]]-LoanCalculator[[#This Row],[Interest]])</f>
        <v>-1600</v>
      </c>
      <c r="F80" s="34">
        <f>SUM(LoanCalculator[[#This Row],[Opening balance]:[Repayment]])</f>
        <v>144808.4199999999</v>
      </c>
    </row>
    <row r="81" spans="2:6" x14ac:dyDescent="0.25">
      <c r="B81" s="30">
        <f>ROW()-ROW(LoanCalculator[[#Headers],[Period]])</f>
        <v>70</v>
      </c>
      <c r="C81" s="34">
        <f t="shared" si="1"/>
        <v>144808.4199999999</v>
      </c>
      <c r="D81" s="34">
        <f>ROUND(LoanCalculator[[#This Row],[Opening balance]]*$D$6/12,2)</f>
        <v>664.91</v>
      </c>
      <c r="E81" s="34">
        <f>MAX($D$5,-LoanCalculator[[#This Row],[Opening balance]]-LoanCalculator[[#This Row],[Interest]])</f>
        <v>-1600</v>
      </c>
      <c r="F81" s="34">
        <f>SUM(LoanCalculator[[#This Row],[Opening balance]:[Repayment]])</f>
        <v>143873.3299999999</v>
      </c>
    </row>
    <row r="82" spans="2:6" x14ac:dyDescent="0.25">
      <c r="B82" s="30">
        <f>ROW()-ROW(LoanCalculator[[#Headers],[Period]])</f>
        <v>71</v>
      </c>
      <c r="C82" s="34">
        <f t="shared" si="1"/>
        <v>143873.3299999999</v>
      </c>
      <c r="D82" s="34">
        <f>ROUND(LoanCalculator[[#This Row],[Opening balance]]*$D$6/12,2)</f>
        <v>660.62</v>
      </c>
      <c r="E82" s="34">
        <f>MAX($D$5,-LoanCalculator[[#This Row],[Opening balance]]-LoanCalculator[[#This Row],[Interest]])</f>
        <v>-1600</v>
      </c>
      <c r="F82" s="34">
        <f>SUM(LoanCalculator[[#This Row],[Opening balance]:[Repayment]])</f>
        <v>142933.9499999999</v>
      </c>
    </row>
    <row r="83" spans="2:6" x14ac:dyDescent="0.25">
      <c r="B83" s="30">
        <f>ROW()-ROW(LoanCalculator[[#Headers],[Period]])</f>
        <v>72</v>
      </c>
      <c r="C83" s="34">
        <f t="shared" si="1"/>
        <v>142933.9499999999</v>
      </c>
      <c r="D83" s="34">
        <f>ROUND(LoanCalculator[[#This Row],[Opening balance]]*$D$6/12,2)</f>
        <v>656.31</v>
      </c>
      <c r="E83" s="34">
        <f>MAX($D$5,-LoanCalculator[[#This Row],[Opening balance]]-LoanCalculator[[#This Row],[Interest]])</f>
        <v>-1600</v>
      </c>
      <c r="F83" s="34">
        <f>SUM(LoanCalculator[[#This Row],[Opening balance]:[Repayment]])</f>
        <v>141990.25999999989</v>
      </c>
    </row>
    <row r="84" spans="2:6" x14ac:dyDescent="0.25">
      <c r="B84" s="30">
        <f>ROW()-ROW(LoanCalculator[[#Headers],[Period]])</f>
        <v>73</v>
      </c>
      <c r="C84" s="34">
        <f t="shared" si="1"/>
        <v>141990.25999999989</v>
      </c>
      <c r="D84" s="34">
        <f>ROUND(LoanCalculator[[#This Row],[Opening balance]]*$D$6/12,2)</f>
        <v>651.97</v>
      </c>
      <c r="E84" s="34">
        <f>MAX($D$5,-LoanCalculator[[#This Row],[Opening balance]]-LoanCalculator[[#This Row],[Interest]])</f>
        <v>-1600</v>
      </c>
      <c r="F84" s="34">
        <f>SUM(LoanCalculator[[#This Row],[Opening balance]:[Repayment]])</f>
        <v>141042.22999999989</v>
      </c>
    </row>
    <row r="85" spans="2:6" x14ac:dyDescent="0.25">
      <c r="B85" s="30">
        <f>ROW()-ROW(LoanCalculator[[#Headers],[Period]])</f>
        <v>74</v>
      </c>
      <c r="C85" s="34">
        <f t="shared" si="1"/>
        <v>141042.22999999989</v>
      </c>
      <c r="D85" s="34">
        <f>ROUND(LoanCalculator[[#This Row],[Opening balance]]*$D$6/12,2)</f>
        <v>647.62</v>
      </c>
      <c r="E85" s="34">
        <f>MAX($D$5,-LoanCalculator[[#This Row],[Opening balance]]-LoanCalculator[[#This Row],[Interest]])</f>
        <v>-1600</v>
      </c>
      <c r="F85" s="34">
        <f>SUM(LoanCalculator[[#This Row],[Opening balance]:[Repayment]])</f>
        <v>140089.84999999989</v>
      </c>
    </row>
    <row r="86" spans="2:6" x14ac:dyDescent="0.25">
      <c r="B86" s="30">
        <f>ROW()-ROW(LoanCalculator[[#Headers],[Period]])</f>
        <v>75</v>
      </c>
      <c r="C86" s="34">
        <f t="shared" si="1"/>
        <v>140089.84999999989</v>
      </c>
      <c r="D86" s="34">
        <f>ROUND(LoanCalculator[[#This Row],[Opening balance]]*$D$6/12,2)</f>
        <v>643.25</v>
      </c>
      <c r="E86" s="34">
        <f>MAX($D$5,-LoanCalculator[[#This Row],[Opening balance]]-LoanCalculator[[#This Row],[Interest]])</f>
        <v>-1600</v>
      </c>
      <c r="F86" s="34">
        <f>SUM(LoanCalculator[[#This Row],[Opening balance]:[Repayment]])</f>
        <v>139133.09999999989</v>
      </c>
    </row>
    <row r="87" spans="2:6" x14ac:dyDescent="0.25">
      <c r="B87" s="30">
        <f>ROW()-ROW(LoanCalculator[[#Headers],[Period]])</f>
        <v>76</v>
      </c>
      <c r="C87" s="34">
        <f t="shared" si="1"/>
        <v>139133.09999999989</v>
      </c>
      <c r="D87" s="34">
        <f>ROUND(LoanCalculator[[#This Row],[Opening balance]]*$D$6/12,2)</f>
        <v>638.85</v>
      </c>
      <c r="E87" s="34">
        <f>MAX($D$5,-LoanCalculator[[#This Row],[Opening balance]]-LoanCalculator[[#This Row],[Interest]])</f>
        <v>-1600</v>
      </c>
      <c r="F87" s="34">
        <f>SUM(LoanCalculator[[#This Row],[Opening balance]:[Repayment]])</f>
        <v>138171.9499999999</v>
      </c>
    </row>
    <row r="88" spans="2:6" x14ac:dyDescent="0.25">
      <c r="B88" s="30">
        <f>ROW()-ROW(LoanCalculator[[#Headers],[Period]])</f>
        <v>77</v>
      </c>
      <c r="C88" s="34">
        <f t="shared" si="1"/>
        <v>138171.9499999999</v>
      </c>
      <c r="D88" s="34">
        <f>ROUND(LoanCalculator[[#This Row],[Opening balance]]*$D$6/12,2)</f>
        <v>634.44000000000005</v>
      </c>
      <c r="E88" s="34">
        <f>MAX($D$5,-LoanCalculator[[#This Row],[Opening balance]]-LoanCalculator[[#This Row],[Interest]])</f>
        <v>-1600</v>
      </c>
      <c r="F88" s="34">
        <f>SUM(LoanCalculator[[#This Row],[Opening balance]:[Repayment]])</f>
        <v>137206.3899999999</v>
      </c>
    </row>
    <row r="89" spans="2:6" x14ac:dyDescent="0.25">
      <c r="B89" s="30">
        <f>ROW()-ROW(LoanCalculator[[#Headers],[Period]])</f>
        <v>78</v>
      </c>
      <c r="C89" s="34">
        <f t="shared" si="1"/>
        <v>137206.3899999999</v>
      </c>
      <c r="D89" s="34">
        <f>ROUND(LoanCalculator[[#This Row],[Opening balance]]*$D$6/12,2)</f>
        <v>630.01</v>
      </c>
      <c r="E89" s="34">
        <f>MAX($D$5,-LoanCalculator[[#This Row],[Opening balance]]-LoanCalculator[[#This Row],[Interest]])</f>
        <v>-1600</v>
      </c>
      <c r="F89" s="34">
        <f>SUM(LoanCalculator[[#This Row],[Opening balance]:[Repayment]])</f>
        <v>136236.39999999991</v>
      </c>
    </row>
    <row r="90" spans="2:6" x14ac:dyDescent="0.25">
      <c r="B90" s="30">
        <f>ROW()-ROW(LoanCalculator[[#Headers],[Period]])</f>
        <v>79</v>
      </c>
      <c r="C90" s="34">
        <f t="shared" si="1"/>
        <v>136236.39999999991</v>
      </c>
      <c r="D90" s="34">
        <f>ROUND(LoanCalculator[[#This Row],[Opening balance]]*$D$6/12,2)</f>
        <v>625.54999999999995</v>
      </c>
      <c r="E90" s="34">
        <f>MAX($D$5,-LoanCalculator[[#This Row],[Opening balance]]-LoanCalculator[[#This Row],[Interest]])</f>
        <v>-1600</v>
      </c>
      <c r="F90" s="34">
        <f>SUM(LoanCalculator[[#This Row],[Opening balance]:[Repayment]])</f>
        <v>135261.9499999999</v>
      </c>
    </row>
    <row r="91" spans="2:6" x14ac:dyDescent="0.25">
      <c r="B91" s="30">
        <f>ROW()-ROW(LoanCalculator[[#Headers],[Period]])</f>
        <v>80</v>
      </c>
      <c r="C91" s="34">
        <f t="shared" si="1"/>
        <v>135261.9499999999</v>
      </c>
      <c r="D91" s="34">
        <f>ROUND(LoanCalculator[[#This Row],[Opening balance]]*$D$6/12,2)</f>
        <v>621.08000000000004</v>
      </c>
      <c r="E91" s="34">
        <f>MAX($D$5,-LoanCalculator[[#This Row],[Opening balance]]-LoanCalculator[[#This Row],[Interest]])</f>
        <v>-1600</v>
      </c>
      <c r="F91" s="34">
        <f>SUM(LoanCalculator[[#This Row],[Opening balance]:[Repayment]])</f>
        <v>134283.02999999988</v>
      </c>
    </row>
    <row r="92" spans="2:6" x14ac:dyDescent="0.25">
      <c r="B92" s="30">
        <f>ROW()-ROW(LoanCalculator[[#Headers],[Period]])</f>
        <v>81</v>
      </c>
      <c r="C92" s="34">
        <f t="shared" si="1"/>
        <v>134283.02999999988</v>
      </c>
      <c r="D92" s="34">
        <f>ROUND(LoanCalculator[[#This Row],[Opening balance]]*$D$6/12,2)</f>
        <v>616.58000000000004</v>
      </c>
      <c r="E92" s="34">
        <f>MAX($D$5,-LoanCalculator[[#This Row],[Opening balance]]-LoanCalculator[[#This Row],[Interest]])</f>
        <v>-1600</v>
      </c>
      <c r="F92" s="34">
        <f>SUM(LoanCalculator[[#This Row],[Opening balance]:[Repayment]])</f>
        <v>133299.60999999987</v>
      </c>
    </row>
    <row r="93" spans="2:6" x14ac:dyDescent="0.25">
      <c r="B93" s="30">
        <f>ROW()-ROW(LoanCalculator[[#Headers],[Period]])</f>
        <v>82</v>
      </c>
      <c r="C93" s="34">
        <f t="shared" si="1"/>
        <v>133299.60999999987</v>
      </c>
      <c r="D93" s="34">
        <f>ROUND(LoanCalculator[[#This Row],[Opening balance]]*$D$6/12,2)</f>
        <v>612.07000000000005</v>
      </c>
      <c r="E93" s="34">
        <f>MAX($D$5,-LoanCalculator[[#This Row],[Opening balance]]-LoanCalculator[[#This Row],[Interest]])</f>
        <v>-1600</v>
      </c>
      <c r="F93" s="34">
        <f>SUM(LoanCalculator[[#This Row],[Opening balance]:[Repayment]])</f>
        <v>132311.67999999988</v>
      </c>
    </row>
    <row r="94" spans="2:6" x14ac:dyDescent="0.25">
      <c r="B94" s="30">
        <f>ROW()-ROW(LoanCalculator[[#Headers],[Period]])</f>
        <v>83</v>
      </c>
      <c r="C94" s="34">
        <f t="shared" si="1"/>
        <v>132311.67999999988</v>
      </c>
      <c r="D94" s="34">
        <f>ROUND(LoanCalculator[[#This Row],[Opening balance]]*$D$6/12,2)</f>
        <v>607.53</v>
      </c>
      <c r="E94" s="34">
        <f>MAX($D$5,-LoanCalculator[[#This Row],[Opening balance]]-LoanCalculator[[#This Row],[Interest]])</f>
        <v>-1600</v>
      </c>
      <c r="F94" s="34">
        <f>SUM(LoanCalculator[[#This Row],[Opening balance]:[Repayment]])</f>
        <v>131319.20999999988</v>
      </c>
    </row>
    <row r="95" spans="2:6" x14ac:dyDescent="0.25">
      <c r="B95" s="30">
        <f>ROW()-ROW(LoanCalculator[[#Headers],[Period]])</f>
        <v>84</v>
      </c>
      <c r="C95" s="34">
        <f t="shared" si="1"/>
        <v>131319.20999999988</v>
      </c>
      <c r="D95" s="34">
        <f>ROUND(LoanCalculator[[#This Row],[Opening balance]]*$D$6/12,2)</f>
        <v>602.97</v>
      </c>
      <c r="E95" s="34">
        <f>MAX($D$5,-LoanCalculator[[#This Row],[Opening balance]]-LoanCalculator[[#This Row],[Interest]])</f>
        <v>-1600</v>
      </c>
      <c r="F95" s="34">
        <f>SUM(LoanCalculator[[#This Row],[Opening balance]:[Repayment]])</f>
        <v>130322.17999999988</v>
      </c>
    </row>
    <row r="96" spans="2:6" x14ac:dyDescent="0.25">
      <c r="B96" s="30">
        <f>ROW()-ROW(LoanCalculator[[#Headers],[Period]])</f>
        <v>85</v>
      </c>
      <c r="C96" s="34">
        <f t="shared" si="1"/>
        <v>130322.17999999988</v>
      </c>
      <c r="D96" s="34">
        <f>ROUND(LoanCalculator[[#This Row],[Opening balance]]*$D$6/12,2)</f>
        <v>598.4</v>
      </c>
      <c r="E96" s="34">
        <f>MAX($D$5,-LoanCalculator[[#This Row],[Opening balance]]-LoanCalculator[[#This Row],[Interest]])</f>
        <v>-1600</v>
      </c>
      <c r="F96" s="34">
        <f>SUM(LoanCalculator[[#This Row],[Opening balance]:[Repayment]])</f>
        <v>129320.57999999987</v>
      </c>
    </row>
    <row r="97" spans="2:6" x14ac:dyDescent="0.25">
      <c r="B97" s="30">
        <f>ROW()-ROW(LoanCalculator[[#Headers],[Period]])</f>
        <v>86</v>
      </c>
      <c r="C97" s="34">
        <f t="shared" si="1"/>
        <v>129320.57999999987</v>
      </c>
      <c r="D97" s="34">
        <f>ROUND(LoanCalculator[[#This Row],[Opening balance]]*$D$6/12,2)</f>
        <v>593.79999999999995</v>
      </c>
      <c r="E97" s="34">
        <f>MAX($D$5,-LoanCalculator[[#This Row],[Opening balance]]-LoanCalculator[[#This Row],[Interest]])</f>
        <v>-1600</v>
      </c>
      <c r="F97" s="34">
        <f>SUM(LoanCalculator[[#This Row],[Opening balance]:[Repayment]])</f>
        <v>128314.37999999987</v>
      </c>
    </row>
    <row r="98" spans="2:6" x14ac:dyDescent="0.25">
      <c r="B98" s="30">
        <f>ROW()-ROW(LoanCalculator[[#Headers],[Period]])</f>
        <v>87</v>
      </c>
      <c r="C98" s="34">
        <f t="shared" si="1"/>
        <v>128314.37999999987</v>
      </c>
      <c r="D98" s="34">
        <f>ROUND(LoanCalculator[[#This Row],[Opening balance]]*$D$6/12,2)</f>
        <v>589.17999999999995</v>
      </c>
      <c r="E98" s="34">
        <f>MAX($D$5,-LoanCalculator[[#This Row],[Opening balance]]-LoanCalculator[[#This Row],[Interest]])</f>
        <v>-1600</v>
      </c>
      <c r="F98" s="34">
        <f>SUM(LoanCalculator[[#This Row],[Opening balance]:[Repayment]])</f>
        <v>127303.55999999987</v>
      </c>
    </row>
    <row r="99" spans="2:6" x14ac:dyDescent="0.25">
      <c r="B99" s="30">
        <f>ROW()-ROW(LoanCalculator[[#Headers],[Period]])</f>
        <v>88</v>
      </c>
      <c r="C99" s="34">
        <f t="shared" si="1"/>
        <v>127303.55999999987</v>
      </c>
      <c r="D99" s="34">
        <f>ROUND(LoanCalculator[[#This Row],[Opening balance]]*$D$6/12,2)</f>
        <v>584.54</v>
      </c>
      <c r="E99" s="34">
        <f>MAX($D$5,-LoanCalculator[[#This Row],[Opening balance]]-LoanCalculator[[#This Row],[Interest]])</f>
        <v>-1600</v>
      </c>
      <c r="F99" s="34">
        <f>SUM(LoanCalculator[[#This Row],[Opening balance]:[Repayment]])</f>
        <v>126288.09999999986</v>
      </c>
    </row>
    <row r="100" spans="2:6" x14ac:dyDescent="0.25">
      <c r="B100" s="30">
        <f>ROW()-ROW(LoanCalculator[[#Headers],[Period]])</f>
        <v>89</v>
      </c>
      <c r="C100" s="34">
        <f t="shared" si="1"/>
        <v>126288.09999999986</v>
      </c>
      <c r="D100" s="34">
        <f>ROUND(LoanCalculator[[#This Row],[Opening balance]]*$D$6/12,2)</f>
        <v>579.87</v>
      </c>
      <c r="E100" s="34">
        <f>MAX($D$5,-LoanCalculator[[#This Row],[Opening balance]]-LoanCalculator[[#This Row],[Interest]])</f>
        <v>-1600</v>
      </c>
      <c r="F100" s="34">
        <f>SUM(LoanCalculator[[#This Row],[Opening balance]:[Repayment]])</f>
        <v>125267.96999999986</v>
      </c>
    </row>
    <row r="101" spans="2:6" x14ac:dyDescent="0.25">
      <c r="B101" s="30">
        <f>ROW()-ROW(LoanCalculator[[#Headers],[Period]])</f>
        <v>90</v>
      </c>
      <c r="C101" s="34">
        <f t="shared" si="1"/>
        <v>125267.96999999986</v>
      </c>
      <c r="D101" s="34">
        <f>ROUND(LoanCalculator[[#This Row],[Opening balance]]*$D$6/12,2)</f>
        <v>575.19000000000005</v>
      </c>
      <c r="E101" s="34">
        <f>MAX($D$5,-LoanCalculator[[#This Row],[Opening balance]]-LoanCalculator[[#This Row],[Interest]])</f>
        <v>-1600</v>
      </c>
      <c r="F101" s="34">
        <f>SUM(LoanCalculator[[#This Row],[Opening balance]:[Repayment]])</f>
        <v>124243.15999999986</v>
      </c>
    </row>
    <row r="102" spans="2:6" x14ac:dyDescent="0.25">
      <c r="B102" s="30">
        <f>ROW()-ROW(LoanCalculator[[#Headers],[Period]])</f>
        <v>91</v>
      </c>
      <c r="C102" s="34">
        <f t="shared" si="1"/>
        <v>124243.15999999986</v>
      </c>
      <c r="D102" s="34">
        <f>ROUND(LoanCalculator[[#This Row],[Opening balance]]*$D$6/12,2)</f>
        <v>570.48</v>
      </c>
      <c r="E102" s="34">
        <f>MAX($D$5,-LoanCalculator[[#This Row],[Opening balance]]-LoanCalculator[[#This Row],[Interest]])</f>
        <v>-1600</v>
      </c>
      <c r="F102" s="34">
        <f>SUM(LoanCalculator[[#This Row],[Opening balance]:[Repayment]])</f>
        <v>123213.63999999985</v>
      </c>
    </row>
    <row r="103" spans="2:6" x14ac:dyDescent="0.25">
      <c r="B103" s="30">
        <f>ROW()-ROW(LoanCalculator[[#Headers],[Period]])</f>
        <v>92</v>
      </c>
      <c r="C103" s="34">
        <f t="shared" si="1"/>
        <v>123213.63999999985</v>
      </c>
      <c r="D103" s="34">
        <f>ROUND(LoanCalculator[[#This Row],[Opening balance]]*$D$6/12,2)</f>
        <v>565.76</v>
      </c>
      <c r="E103" s="34">
        <f>MAX($D$5,-LoanCalculator[[#This Row],[Opening balance]]-LoanCalculator[[#This Row],[Interest]])</f>
        <v>-1600</v>
      </c>
      <c r="F103" s="34">
        <f>SUM(LoanCalculator[[#This Row],[Opening balance]:[Repayment]])</f>
        <v>122179.39999999985</v>
      </c>
    </row>
    <row r="104" spans="2:6" x14ac:dyDescent="0.25">
      <c r="B104" s="30">
        <f>ROW()-ROW(LoanCalculator[[#Headers],[Period]])</f>
        <v>93</v>
      </c>
      <c r="C104" s="34">
        <f t="shared" si="1"/>
        <v>122179.39999999985</v>
      </c>
      <c r="D104" s="34">
        <f>ROUND(LoanCalculator[[#This Row],[Opening balance]]*$D$6/12,2)</f>
        <v>561.01</v>
      </c>
      <c r="E104" s="34">
        <f>MAX($D$5,-LoanCalculator[[#This Row],[Opening balance]]-LoanCalculator[[#This Row],[Interest]])</f>
        <v>-1600</v>
      </c>
      <c r="F104" s="34">
        <f>SUM(LoanCalculator[[#This Row],[Opening balance]:[Repayment]])</f>
        <v>121140.40999999984</v>
      </c>
    </row>
    <row r="105" spans="2:6" x14ac:dyDescent="0.25">
      <c r="B105" s="30">
        <f>ROW()-ROW(LoanCalculator[[#Headers],[Period]])</f>
        <v>94</v>
      </c>
      <c r="C105" s="34">
        <f t="shared" si="1"/>
        <v>121140.40999999984</v>
      </c>
      <c r="D105" s="34">
        <f>ROUND(LoanCalculator[[#This Row],[Opening balance]]*$D$6/12,2)</f>
        <v>556.24</v>
      </c>
      <c r="E105" s="34">
        <f>MAX($D$5,-LoanCalculator[[#This Row],[Opening balance]]-LoanCalculator[[#This Row],[Interest]])</f>
        <v>-1600</v>
      </c>
      <c r="F105" s="34">
        <f>SUM(LoanCalculator[[#This Row],[Opening balance]:[Repayment]])</f>
        <v>120096.64999999985</v>
      </c>
    </row>
    <row r="106" spans="2:6" x14ac:dyDescent="0.25">
      <c r="B106" s="30">
        <f>ROW()-ROW(LoanCalculator[[#Headers],[Period]])</f>
        <v>95</v>
      </c>
      <c r="C106" s="34">
        <f t="shared" si="1"/>
        <v>120096.64999999985</v>
      </c>
      <c r="D106" s="34">
        <f>ROUND(LoanCalculator[[#This Row],[Opening balance]]*$D$6/12,2)</f>
        <v>551.44000000000005</v>
      </c>
      <c r="E106" s="34">
        <f>MAX($D$5,-LoanCalculator[[#This Row],[Opening balance]]-LoanCalculator[[#This Row],[Interest]])</f>
        <v>-1600</v>
      </c>
      <c r="F106" s="34">
        <f>SUM(LoanCalculator[[#This Row],[Opening balance]:[Repayment]])</f>
        <v>119048.08999999985</v>
      </c>
    </row>
    <row r="107" spans="2:6" x14ac:dyDescent="0.25">
      <c r="B107" s="30">
        <f>ROW()-ROW(LoanCalculator[[#Headers],[Period]])</f>
        <v>96</v>
      </c>
      <c r="C107" s="34">
        <f t="shared" si="1"/>
        <v>119048.08999999985</v>
      </c>
      <c r="D107" s="34">
        <f>ROUND(LoanCalculator[[#This Row],[Opening balance]]*$D$6/12,2)</f>
        <v>546.63</v>
      </c>
      <c r="E107" s="34">
        <f>MAX($D$5,-LoanCalculator[[#This Row],[Opening balance]]-LoanCalculator[[#This Row],[Interest]])</f>
        <v>-1600</v>
      </c>
      <c r="F107" s="34">
        <f>SUM(LoanCalculator[[#This Row],[Opening balance]:[Repayment]])</f>
        <v>117994.71999999986</v>
      </c>
    </row>
    <row r="108" spans="2:6" x14ac:dyDescent="0.25">
      <c r="B108" s="30">
        <f>ROW()-ROW(LoanCalculator[[#Headers],[Period]])</f>
        <v>97</v>
      </c>
      <c r="C108" s="34">
        <f t="shared" si="1"/>
        <v>117994.71999999986</v>
      </c>
      <c r="D108" s="34">
        <f>ROUND(LoanCalculator[[#This Row],[Opening balance]]*$D$6/12,2)</f>
        <v>541.79</v>
      </c>
      <c r="E108" s="34">
        <f>MAX($D$5,-LoanCalculator[[#This Row],[Opening balance]]-LoanCalculator[[#This Row],[Interest]])</f>
        <v>-1600</v>
      </c>
      <c r="F108" s="34">
        <f>SUM(LoanCalculator[[#This Row],[Opening balance]:[Repayment]])</f>
        <v>116936.50999999985</v>
      </c>
    </row>
    <row r="109" spans="2:6" x14ac:dyDescent="0.25">
      <c r="B109" s="30">
        <f>ROW()-ROW(LoanCalculator[[#Headers],[Period]])</f>
        <v>98</v>
      </c>
      <c r="C109" s="34">
        <f t="shared" si="1"/>
        <v>116936.50999999985</v>
      </c>
      <c r="D109" s="34">
        <f>ROUND(LoanCalculator[[#This Row],[Opening balance]]*$D$6/12,2)</f>
        <v>536.92999999999995</v>
      </c>
      <c r="E109" s="34">
        <f>MAX($D$5,-LoanCalculator[[#This Row],[Opening balance]]-LoanCalculator[[#This Row],[Interest]])</f>
        <v>-1600</v>
      </c>
      <c r="F109" s="34">
        <f>SUM(LoanCalculator[[#This Row],[Opening balance]:[Repayment]])</f>
        <v>115873.43999999984</v>
      </c>
    </row>
    <row r="110" spans="2:6" x14ac:dyDescent="0.25">
      <c r="B110" s="30">
        <f>ROW()-ROW(LoanCalculator[[#Headers],[Period]])</f>
        <v>99</v>
      </c>
      <c r="C110" s="34">
        <f t="shared" si="1"/>
        <v>115873.43999999984</v>
      </c>
      <c r="D110" s="34">
        <f>ROUND(LoanCalculator[[#This Row],[Opening balance]]*$D$6/12,2)</f>
        <v>532.04999999999995</v>
      </c>
      <c r="E110" s="34">
        <f>MAX($D$5,-LoanCalculator[[#This Row],[Opening balance]]-LoanCalculator[[#This Row],[Interest]])</f>
        <v>-1600</v>
      </c>
      <c r="F110" s="34">
        <f>SUM(LoanCalculator[[#This Row],[Opening balance]:[Repayment]])</f>
        <v>114805.48999999985</v>
      </c>
    </row>
    <row r="111" spans="2:6" x14ac:dyDescent="0.25">
      <c r="B111" s="30">
        <f>ROW()-ROW(LoanCalculator[[#Headers],[Period]])</f>
        <v>100</v>
      </c>
      <c r="C111" s="34">
        <f t="shared" si="1"/>
        <v>114805.48999999985</v>
      </c>
      <c r="D111" s="34">
        <f>ROUND(LoanCalculator[[#This Row],[Opening balance]]*$D$6/12,2)</f>
        <v>527.15</v>
      </c>
      <c r="E111" s="34">
        <f>MAX($D$5,-LoanCalculator[[#This Row],[Opening balance]]-LoanCalculator[[#This Row],[Interest]])</f>
        <v>-1600</v>
      </c>
      <c r="F111" s="34">
        <f>SUM(LoanCalculator[[#This Row],[Opening balance]:[Repayment]])</f>
        <v>113732.63999999984</v>
      </c>
    </row>
    <row r="112" spans="2:6" x14ac:dyDescent="0.25">
      <c r="B112" s="30">
        <f>ROW()-ROW(LoanCalculator[[#Headers],[Period]])</f>
        <v>101</v>
      </c>
      <c r="C112" s="34">
        <f t="shared" si="1"/>
        <v>113732.63999999984</v>
      </c>
      <c r="D112" s="34">
        <f>ROUND(LoanCalculator[[#This Row],[Opening balance]]*$D$6/12,2)</f>
        <v>522.22</v>
      </c>
      <c r="E112" s="34">
        <f>MAX($D$5,-LoanCalculator[[#This Row],[Opening balance]]-LoanCalculator[[#This Row],[Interest]])</f>
        <v>-1600</v>
      </c>
      <c r="F112" s="34">
        <f>SUM(LoanCalculator[[#This Row],[Opening balance]:[Repayment]])</f>
        <v>112654.85999999984</v>
      </c>
    </row>
    <row r="113" spans="2:6" x14ac:dyDescent="0.25">
      <c r="B113" s="30">
        <f>ROW()-ROW(LoanCalculator[[#Headers],[Period]])</f>
        <v>102</v>
      </c>
      <c r="C113" s="34">
        <f t="shared" si="1"/>
        <v>112654.85999999984</v>
      </c>
      <c r="D113" s="34">
        <f>ROUND(LoanCalculator[[#This Row],[Opening balance]]*$D$6/12,2)</f>
        <v>517.27</v>
      </c>
      <c r="E113" s="34">
        <f>MAX($D$5,-LoanCalculator[[#This Row],[Opening balance]]-LoanCalculator[[#This Row],[Interest]])</f>
        <v>-1600</v>
      </c>
      <c r="F113" s="34">
        <f>SUM(LoanCalculator[[#This Row],[Opening balance]:[Repayment]])</f>
        <v>111572.12999999984</v>
      </c>
    </row>
    <row r="114" spans="2:6" x14ac:dyDescent="0.25">
      <c r="B114" s="30">
        <f>ROW()-ROW(LoanCalculator[[#Headers],[Period]])</f>
        <v>103</v>
      </c>
      <c r="C114" s="34">
        <f t="shared" si="1"/>
        <v>111572.12999999984</v>
      </c>
      <c r="D114" s="34">
        <f>ROUND(LoanCalculator[[#This Row],[Opening balance]]*$D$6/12,2)</f>
        <v>512.29999999999995</v>
      </c>
      <c r="E114" s="34">
        <f>MAX($D$5,-LoanCalculator[[#This Row],[Opening balance]]-LoanCalculator[[#This Row],[Interest]])</f>
        <v>-1600</v>
      </c>
      <c r="F114" s="34">
        <f>SUM(LoanCalculator[[#This Row],[Opening balance]:[Repayment]])</f>
        <v>110484.42999999985</v>
      </c>
    </row>
    <row r="115" spans="2:6" x14ac:dyDescent="0.25">
      <c r="B115" s="30">
        <f>ROW()-ROW(LoanCalculator[[#Headers],[Period]])</f>
        <v>104</v>
      </c>
      <c r="C115" s="34">
        <f t="shared" si="1"/>
        <v>110484.42999999985</v>
      </c>
      <c r="D115" s="34">
        <f>ROUND(LoanCalculator[[#This Row],[Opening balance]]*$D$6/12,2)</f>
        <v>507.31</v>
      </c>
      <c r="E115" s="34">
        <f>MAX($D$5,-LoanCalculator[[#This Row],[Opening balance]]-LoanCalculator[[#This Row],[Interest]])</f>
        <v>-1600</v>
      </c>
      <c r="F115" s="34">
        <f>SUM(LoanCalculator[[#This Row],[Opening balance]:[Repayment]])</f>
        <v>109391.73999999985</v>
      </c>
    </row>
    <row r="116" spans="2:6" x14ac:dyDescent="0.25">
      <c r="B116" s="30">
        <f>ROW()-ROW(LoanCalculator[[#Headers],[Period]])</f>
        <v>105</v>
      </c>
      <c r="C116" s="34">
        <f t="shared" si="1"/>
        <v>109391.73999999985</v>
      </c>
      <c r="D116" s="34">
        <f>ROUND(LoanCalculator[[#This Row],[Opening balance]]*$D$6/12,2)</f>
        <v>502.29</v>
      </c>
      <c r="E116" s="34">
        <f>MAX($D$5,-LoanCalculator[[#This Row],[Opening balance]]-LoanCalculator[[#This Row],[Interest]])</f>
        <v>-1600</v>
      </c>
      <c r="F116" s="34">
        <f>SUM(LoanCalculator[[#This Row],[Opening balance]:[Repayment]])</f>
        <v>108294.02999999984</v>
      </c>
    </row>
    <row r="117" spans="2:6" x14ac:dyDescent="0.25">
      <c r="B117" s="30">
        <f>ROW()-ROW(LoanCalculator[[#Headers],[Period]])</f>
        <v>106</v>
      </c>
      <c r="C117" s="34">
        <f t="shared" si="1"/>
        <v>108294.02999999984</v>
      </c>
      <c r="D117" s="34">
        <f>ROUND(LoanCalculator[[#This Row],[Opening balance]]*$D$6/12,2)</f>
        <v>497.25</v>
      </c>
      <c r="E117" s="34">
        <f>MAX($D$5,-LoanCalculator[[#This Row],[Opening balance]]-LoanCalculator[[#This Row],[Interest]])</f>
        <v>-1600</v>
      </c>
      <c r="F117" s="34">
        <f>SUM(LoanCalculator[[#This Row],[Opening balance]:[Repayment]])</f>
        <v>107191.27999999984</v>
      </c>
    </row>
    <row r="118" spans="2:6" x14ac:dyDescent="0.25">
      <c r="B118" s="30">
        <f>ROW()-ROW(LoanCalculator[[#Headers],[Period]])</f>
        <v>107</v>
      </c>
      <c r="C118" s="34">
        <f t="shared" si="1"/>
        <v>107191.27999999984</v>
      </c>
      <c r="D118" s="34">
        <f>ROUND(LoanCalculator[[#This Row],[Opening balance]]*$D$6/12,2)</f>
        <v>492.19</v>
      </c>
      <c r="E118" s="34">
        <f>MAX($D$5,-LoanCalculator[[#This Row],[Opening balance]]-LoanCalculator[[#This Row],[Interest]])</f>
        <v>-1600</v>
      </c>
      <c r="F118" s="34">
        <f>SUM(LoanCalculator[[#This Row],[Opening balance]:[Repayment]])</f>
        <v>106083.46999999984</v>
      </c>
    </row>
    <row r="119" spans="2:6" x14ac:dyDescent="0.25">
      <c r="B119" s="30">
        <f>ROW()-ROW(LoanCalculator[[#Headers],[Period]])</f>
        <v>108</v>
      </c>
      <c r="C119" s="34">
        <f t="shared" si="1"/>
        <v>106083.46999999984</v>
      </c>
      <c r="D119" s="34">
        <f>ROUND(LoanCalculator[[#This Row],[Opening balance]]*$D$6/12,2)</f>
        <v>487.1</v>
      </c>
      <c r="E119" s="34">
        <f>MAX($D$5,-LoanCalculator[[#This Row],[Opening balance]]-LoanCalculator[[#This Row],[Interest]])</f>
        <v>-1600</v>
      </c>
      <c r="F119" s="34">
        <f>SUM(LoanCalculator[[#This Row],[Opening balance]:[Repayment]])</f>
        <v>104970.56999999985</v>
      </c>
    </row>
    <row r="120" spans="2:6" x14ac:dyDescent="0.25">
      <c r="B120" s="30">
        <f>ROW()-ROW(LoanCalculator[[#Headers],[Period]])</f>
        <v>109</v>
      </c>
      <c r="C120" s="34">
        <f t="shared" si="1"/>
        <v>104970.56999999985</v>
      </c>
      <c r="D120" s="34">
        <f>ROUND(LoanCalculator[[#This Row],[Opening balance]]*$D$6/12,2)</f>
        <v>481.99</v>
      </c>
      <c r="E120" s="34">
        <f>MAX($D$5,-LoanCalculator[[#This Row],[Opening balance]]-LoanCalculator[[#This Row],[Interest]])</f>
        <v>-1600</v>
      </c>
      <c r="F120" s="34">
        <f>SUM(LoanCalculator[[#This Row],[Opening balance]:[Repayment]])</f>
        <v>103852.55999999985</v>
      </c>
    </row>
    <row r="121" spans="2:6" x14ac:dyDescent="0.25">
      <c r="B121" s="30">
        <f>ROW()-ROW(LoanCalculator[[#Headers],[Period]])</f>
        <v>110</v>
      </c>
      <c r="C121" s="34">
        <f t="shared" si="1"/>
        <v>103852.55999999985</v>
      </c>
      <c r="D121" s="34">
        <f>ROUND(LoanCalculator[[#This Row],[Opening balance]]*$D$6/12,2)</f>
        <v>476.86</v>
      </c>
      <c r="E121" s="34">
        <f>MAX($D$5,-LoanCalculator[[#This Row],[Opening balance]]-LoanCalculator[[#This Row],[Interest]])</f>
        <v>-1600</v>
      </c>
      <c r="F121" s="34">
        <f>SUM(LoanCalculator[[#This Row],[Opening balance]:[Repayment]])</f>
        <v>102729.41999999985</v>
      </c>
    </row>
    <row r="122" spans="2:6" x14ac:dyDescent="0.25">
      <c r="B122" s="30">
        <f>ROW()-ROW(LoanCalculator[[#Headers],[Period]])</f>
        <v>111</v>
      </c>
      <c r="C122" s="34">
        <f t="shared" si="1"/>
        <v>102729.41999999985</v>
      </c>
      <c r="D122" s="34">
        <f>ROUND(LoanCalculator[[#This Row],[Opening balance]]*$D$6/12,2)</f>
        <v>471.7</v>
      </c>
      <c r="E122" s="34">
        <f>MAX($D$5,-LoanCalculator[[#This Row],[Opening balance]]-LoanCalculator[[#This Row],[Interest]])</f>
        <v>-1600</v>
      </c>
      <c r="F122" s="34">
        <f>SUM(LoanCalculator[[#This Row],[Opening balance]:[Repayment]])</f>
        <v>101601.11999999985</v>
      </c>
    </row>
    <row r="123" spans="2:6" x14ac:dyDescent="0.25">
      <c r="B123" s="30">
        <f>ROW()-ROW(LoanCalculator[[#Headers],[Period]])</f>
        <v>112</v>
      </c>
      <c r="C123" s="34">
        <f t="shared" si="1"/>
        <v>101601.11999999985</v>
      </c>
      <c r="D123" s="34">
        <f>ROUND(LoanCalculator[[#This Row],[Opening balance]]*$D$6/12,2)</f>
        <v>466.52</v>
      </c>
      <c r="E123" s="34">
        <f>MAX($D$5,-LoanCalculator[[#This Row],[Opening balance]]-LoanCalculator[[#This Row],[Interest]])</f>
        <v>-1600</v>
      </c>
      <c r="F123" s="34">
        <f>SUM(LoanCalculator[[#This Row],[Opening balance]:[Repayment]])</f>
        <v>100467.63999999985</v>
      </c>
    </row>
    <row r="124" spans="2:6" x14ac:dyDescent="0.25">
      <c r="B124" s="30">
        <f>ROW()-ROW(LoanCalculator[[#Headers],[Period]])</f>
        <v>113</v>
      </c>
      <c r="C124" s="34">
        <f t="shared" si="1"/>
        <v>100467.63999999985</v>
      </c>
      <c r="D124" s="34">
        <f>ROUND(LoanCalculator[[#This Row],[Opening balance]]*$D$6/12,2)</f>
        <v>461.31</v>
      </c>
      <c r="E124" s="34">
        <f>MAX($D$5,-LoanCalculator[[#This Row],[Opening balance]]-LoanCalculator[[#This Row],[Interest]])</f>
        <v>-1600</v>
      </c>
      <c r="F124" s="34">
        <f>SUM(LoanCalculator[[#This Row],[Opening balance]:[Repayment]])</f>
        <v>99328.949999999852</v>
      </c>
    </row>
    <row r="125" spans="2:6" x14ac:dyDescent="0.25">
      <c r="B125" s="30">
        <f>ROW()-ROW(LoanCalculator[[#Headers],[Period]])</f>
        <v>114</v>
      </c>
      <c r="C125" s="34">
        <f t="shared" si="1"/>
        <v>99328.949999999852</v>
      </c>
      <c r="D125" s="34">
        <f>ROUND(LoanCalculator[[#This Row],[Opening balance]]*$D$6/12,2)</f>
        <v>456.09</v>
      </c>
      <c r="E125" s="34">
        <f>MAX($D$5,-LoanCalculator[[#This Row],[Opening balance]]-LoanCalculator[[#This Row],[Interest]])</f>
        <v>-1600</v>
      </c>
      <c r="F125" s="34">
        <f>SUM(LoanCalculator[[#This Row],[Opening balance]:[Repayment]])</f>
        <v>98185.039999999848</v>
      </c>
    </row>
    <row r="126" spans="2:6" x14ac:dyDescent="0.25">
      <c r="B126" s="30">
        <f>ROW()-ROW(LoanCalculator[[#Headers],[Period]])</f>
        <v>115</v>
      </c>
      <c r="C126" s="34">
        <f t="shared" si="1"/>
        <v>98185.039999999848</v>
      </c>
      <c r="D126" s="34">
        <f>ROUND(LoanCalculator[[#This Row],[Opening balance]]*$D$6/12,2)</f>
        <v>450.83</v>
      </c>
      <c r="E126" s="34">
        <f>MAX($D$5,-LoanCalculator[[#This Row],[Opening balance]]-LoanCalculator[[#This Row],[Interest]])</f>
        <v>-1600</v>
      </c>
      <c r="F126" s="34">
        <f>SUM(LoanCalculator[[#This Row],[Opening balance]:[Repayment]])</f>
        <v>97035.86999999985</v>
      </c>
    </row>
    <row r="127" spans="2:6" x14ac:dyDescent="0.25">
      <c r="B127" s="30">
        <f>ROW()-ROW(LoanCalculator[[#Headers],[Period]])</f>
        <v>116</v>
      </c>
      <c r="C127" s="34">
        <f t="shared" si="1"/>
        <v>97035.86999999985</v>
      </c>
      <c r="D127" s="34">
        <f>ROUND(LoanCalculator[[#This Row],[Opening balance]]*$D$6/12,2)</f>
        <v>445.56</v>
      </c>
      <c r="E127" s="34">
        <f>MAX($D$5,-LoanCalculator[[#This Row],[Opening balance]]-LoanCalculator[[#This Row],[Interest]])</f>
        <v>-1600</v>
      </c>
      <c r="F127" s="34">
        <f>SUM(LoanCalculator[[#This Row],[Opening balance]:[Repayment]])</f>
        <v>95881.429999999847</v>
      </c>
    </row>
    <row r="128" spans="2:6" x14ac:dyDescent="0.25">
      <c r="B128" s="30">
        <f>ROW()-ROW(LoanCalculator[[#Headers],[Period]])</f>
        <v>117</v>
      </c>
      <c r="C128" s="34">
        <f t="shared" si="1"/>
        <v>95881.429999999847</v>
      </c>
      <c r="D128" s="34">
        <f>ROUND(LoanCalculator[[#This Row],[Opening balance]]*$D$6/12,2)</f>
        <v>440.26</v>
      </c>
      <c r="E128" s="34">
        <f>MAX($D$5,-LoanCalculator[[#This Row],[Opening balance]]-LoanCalculator[[#This Row],[Interest]])</f>
        <v>-1600</v>
      </c>
      <c r="F128" s="34">
        <f>SUM(LoanCalculator[[#This Row],[Opening balance]:[Repayment]])</f>
        <v>94721.689999999842</v>
      </c>
    </row>
    <row r="129" spans="2:6" x14ac:dyDescent="0.25">
      <c r="B129" s="30">
        <f>ROW()-ROW(LoanCalculator[[#Headers],[Period]])</f>
        <v>118</v>
      </c>
      <c r="C129" s="34">
        <f t="shared" si="1"/>
        <v>94721.689999999842</v>
      </c>
      <c r="D129" s="34">
        <f>ROUND(LoanCalculator[[#This Row],[Opening balance]]*$D$6/12,2)</f>
        <v>434.93</v>
      </c>
      <c r="E129" s="34">
        <f>MAX($D$5,-LoanCalculator[[#This Row],[Opening balance]]-LoanCalculator[[#This Row],[Interest]])</f>
        <v>-1600</v>
      </c>
      <c r="F129" s="34">
        <f>SUM(LoanCalculator[[#This Row],[Opening balance]:[Repayment]])</f>
        <v>93556.619999999835</v>
      </c>
    </row>
    <row r="130" spans="2:6" x14ac:dyDescent="0.25">
      <c r="B130" s="30">
        <f>ROW()-ROW(LoanCalculator[[#Headers],[Period]])</f>
        <v>119</v>
      </c>
      <c r="C130" s="34">
        <f t="shared" si="1"/>
        <v>93556.619999999835</v>
      </c>
      <c r="D130" s="34">
        <f>ROUND(LoanCalculator[[#This Row],[Opening balance]]*$D$6/12,2)</f>
        <v>429.58</v>
      </c>
      <c r="E130" s="34">
        <f>MAX($D$5,-LoanCalculator[[#This Row],[Opening balance]]-LoanCalculator[[#This Row],[Interest]])</f>
        <v>-1600</v>
      </c>
      <c r="F130" s="34">
        <f>SUM(LoanCalculator[[#This Row],[Opening balance]:[Repayment]])</f>
        <v>92386.199999999837</v>
      </c>
    </row>
    <row r="131" spans="2:6" x14ac:dyDescent="0.25">
      <c r="B131" s="30">
        <f>ROW()-ROW(LoanCalculator[[#Headers],[Period]])</f>
        <v>120</v>
      </c>
      <c r="C131" s="34">
        <f t="shared" si="1"/>
        <v>92386.199999999837</v>
      </c>
      <c r="D131" s="34">
        <f>ROUND(LoanCalculator[[#This Row],[Opening balance]]*$D$6/12,2)</f>
        <v>424.21</v>
      </c>
      <c r="E131" s="34">
        <f>MAX($D$5,-LoanCalculator[[#This Row],[Opening balance]]-LoanCalculator[[#This Row],[Interest]])</f>
        <v>-1600</v>
      </c>
      <c r="F131" s="34">
        <f>SUM(LoanCalculator[[#This Row],[Opening balance]:[Repayment]])</f>
        <v>91210.409999999843</v>
      </c>
    </row>
    <row r="132" spans="2:6" x14ac:dyDescent="0.25">
      <c r="B132" s="30">
        <f>ROW()-ROW(LoanCalculator[[#Headers],[Period]])</f>
        <v>121</v>
      </c>
      <c r="C132" s="34">
        <f t="shared" si="1"/>
        <v>91210.409999999843</v>
      </c>
      <c r="D132" s="34">
        <f>ROUND(LoanCalculator[[#This Row],[Opening balance]]*$D$6/12,2)</f>
        <v>418.81</v>
      </c>
      <c r="E132" s="34">
        <f>MAX($D$5,-LoanCalculator[[#This Row],[Opening balance]]-LoanCalculator[[#This Row],[Interest]])</f>
        <v>-1600</v>
      </c>
      <c r="F132" s="34">
        <f>SUM(LoanCalculator[[#This Row],[Opening balance]:[Repayment]])</f>
        <v>90029.219999999841</v>
      </c>
    </row>
    <row r="133" spans="2:6" x14ac:dyDescent="0.25">
      <c r="B133" s="30">
        <f>ROW()-ROW(LoanCalculator[[#Headers],[Period]])</f>
        <v>122</v>
      </c>
      <c r="C133" s="34">
        <f t="shared" si="1"/>
        <v>90029.219999999841</v>
      </c>
      <c r="D133" s="34">
        <f>ROUND(LoanCalculator[[#This Row],[Opening balance]]*$D$6/12,2)</f>
        <v>413.38</v>
      </c>
      <c r="E133" s="34">
        <f>MAX($D$5,-LoanCalculator[[#This Row],[Opening balance]]-LoanCalculator[[#This Row],[Interest]])</f>
        <v>-1600</v>
      </c>
      <c r="F133" s="34">
        <f>SUM(LoanCalculator[[#This Row],[Opening balance]:[Repayment]])</f>
        <v>88842.599999999846</v>
      </c>
    </row>
    <row r="134" spans="2:6" x14ac:dyDescent="0.25">
      <c r="B134" s="30">
        <f>ROW()-ROW(LoanCalculator[[#Headers],[Period]])</f>
        <v>123</v>
      </c>
      <c r="C134" s="34">
        <f t="shared" si="1"/>
        <v>88842.599999999846</v>
      </c>
      <c r="D134" s="34">
        <f>ROUND(LoanCalculator[[#This Row],[Opening balance]]*$D$6/12,2)</f>
        <v>407.94</v>
      </c>
      <c r="E134" s="34">
        <f>MAX($D$5,-LoanCalculator[[#This Row],[Opening balance]]-LoanCalculator[[#This Row],[Interest]])</f>
        <v>-1600</v>
      </c>
      <c r="F134" s="34">
        <f>SUM(LoanCalculator[[#This Row],[Opening balance]:[Repayment]])</f>
        <v>87650.539999999848</v>
      </c>
    </row>
    <row r="135" spans="2:6" x14ac:dyDescent="0.25">
      <c r="B135" s="30">
        <f>ROW()-ROW(LoanCalculator[[#Headers],[Period]])</f>
        <v>124</v>
      </c>
      <c r="C135" s="34">
        <f t="shared" si="1"/>
        <v>87650.539999999848</v>
      </c>
      <c r="D135" s="34">
        <f>ROUND(LoanCalculator[[#This Row],[Opening balance]]*$D$6/12,2)</f>
        <v>402.46</v>
      </c>
      <c r="E135" s="34">
        <f>MAX($D$5,-LoanCalculator[[#This Row],[Opening balance]]-LoanCalculator[[#This Row],[Interest]])</f>
        <v>-1600</v>
      </c>
      <c r="F135" s="34">
        <f>SUM(LoanCalculator[[#This Row],[Opening balance]:[Repayment]])</f>
        <v>86452.999999999854</v>
      </c>
    </row>
    <row r="136" spans="2:6" x14ac:dyDescent="0.25">
      <c r="B136" s="30">
        <f>ROW()-ROW(LoanCalculator[[#Headers],[Period]])</f>
        <v>125</v>
      </c>
      <c r="C136" s="34">
        <f t="shared" si="1"/>
        <v>86452.999999999854</v>
      </c>
      <c r="D136" s="34">
        <f>ROUND(LoanCalculator[[#This Row],[Opening balance]]*$D$6/12,2)</f>
        <v>396.96</v>
      </c>
      <c r="E136" s="34">
        <f>MAX($D$5,-LoanCalculator[[#This Row],[Opening balance]]-LoanCalculator[[#This Row],[Interest]])</f>
        <v>-1600</v>
      </c>
      <c r="F136" s="34">
        <f>SUM(LoanCalculator[[#This Row],[Opening balance]:[Repayment]])</f>
        <v>85249.959999999861</v>
      </c>
    </row>
    <row r="137" spans="2:6" x14ac:dyDescent="0.25">
      <c r="B137" s="30">
        <f>ROW()-ROW(LoanCalculator[[#Headers],[Period]])</f>
        <v>126</v>
      </c>
      <c r="C137" s="34">
        <f t="shared" si="1"/>
        <v>85249.959999999861</v>
      </c>
      <c r="D137" s="34">
        <f>ROUND(LoanCalculator[[#This Row],[Opening balance]]*$D$6/12,2)</f>
        <v>391.44</v>
      </c>
      <c r="E137" s="34">
        <f>MAX($D$5,-LoanCalculator[[#This Row],[Opening balance]]-LoanCalculator[[#This Row],[Interest]])</f>
        <v>-1600</v>
      </c>
      <c r="F137" s="34">
        <f>SUM(LoanCalculator[[#This Row],[Opening balance]:[Repayment]])</f>
        <v>84041.399999999863</v>
      </c>
    </row>
    <row r="138" spans="2:6" x14ac:dyDescent="0.25">
      <c r="B138" s="30">
        <f>ROW()-ROW(LoanCalculator[[#Headers],[Period]])</f>
        <v>127</v>
      </c>
      <c r="C138" s="34">
        <f t="shared" si="1"/>
        <v>84041.399999999863</v>
      </c>
      <c r="D138" s="34">
        <f>ROUND(LoanCalculator[[#This Row],[Opening balance]]*$D$6/12,2)</f>
        <v>385.89</v>
      </c>
      <c r="E138" s="34">
        <f>MAX($D$5,-LoanCalculator[[#This Row],[Opening balance]]-LoanCalculator[[#This Row],[Interest]])</f>
        <v>-1600</v>
      </c>
      <c r="F138" s="34">
        <f>SUM(LoanCalculator[[#This Row],[Opening balance]:[Repayment]])</f>
        <v>82827.289999999863</v>
      </c>
    </row>
    <row r="139" spans="2:6" x14ac:dyDescent="0.25">
      <c r="B139" s="30">
        <f>ROW()-ROW(LoanCalculator[[#Headers],[Period]])</f>
        <v>128</v>
      </c>
      <c r="C139" s="34">
        <f t="shared" si="1"/>
        <v>82827.289999999863</v>
      </c>
      <c r="D139" s="34">
        <f>ROUND(LoanCalculator[[#This Row],[Opening balance]]*$D$6/12,2)</f>
        <v>380.32</v>
      </c>
      <c r="E139" s="34">
        <f>MAX($D$5,-LoanCalculator[[#This Row],[Opening balance]]-LoanCalculator[[#This Row],[Interest]])</f>
        <v>-1600</v>
      </c>
      <c r="F139" s="34">
        <f>SUM(LoanCalculator[[#This Row],[Opening balance]:[Repayment]])</f>
        <v>81607.60999999987</v>
      </c>
    </row>
    <row r="140" spans="2:6" x14ac:dyDescent="0.25">
      <c r="B140" s="30">
        <f>ROW()-ROW(LoanCalculator[[#Headers],[Period]])</f>
        <v>129</v>
      </c>
      <c r="C140" s="34">
        <f t="shared" si="1"/>
        <v>81607.60999999987</v>
      </c>
      <c r="D140" s="34">
        <f>ROUND(LoanCalculator[[#This Row],[Opening balance]]*$D$6/12,2)</f>
        <v>374.71</v>
      </c>
      <c r="E140" s="34">
        <f>MAX($D$5,-LoanCalculator[[#This Row],[Opening balance]]-LoanCalculator[[#This Row],[Interest]])</f>
        <v>-1600</v>
      </c>
      <c r="F140" s="34">
        <f>SUM(LoanCalculator[[#This Row],[Opening balance]:[Repayment]])</f>
        <v>80382.319999999876</v>
      </c>
    </row>
    <row r="141" spans="2:6" x14ac:dyDescent="0.25">
      <c r="B141" s="30">
        <f>ROW()-ROW(LoanCalculator[[#Headers],[Period]])</f>
        <v>130</v>
      </c>
      <c r="C141" s="34">
        <f t="shared" ref="C141:C198" si="2">F140</f>
        <v>80382.319999999876</v>
      </c>
      <c r="D141" s="34">
        <f>ROUND(LoanCalculator[[#This Row],[Opening balance]]*$D$6/12,2)</f>
        <v>369.09</v>
      </c>
      <c r="E141" s="34">
        <f>MAX($D$5,-LoanCalculator[[#This Row],[Opening balance]]-LoanCalculator[[#This Row],[Interest]])</f>
        <v>-1600</v>
      </c>
      <c r="F141" s="34">
        <f>SUM(LoanCalculator[[#This Row],[Opening balance]:[Repayment]])</f>
        <v>79151.409999999873</v>
      </c>
    </row>
    <row r="142" spans="2:6" x14ac:dyDescent="0.25">
      <c r="B142" s="30">
        <f>ROW()-ROW(LoanCalculator[[#Headers],[Period]])</f>
        <v>131</v>
      </c>
      <c r="C142" s="34">
        <f t="shared" si="2"/>
        <v>79151.409999999873</v>
      </c>
      <c r="D142" s="34">
        <f>ROUND(LoanCalculator[[#This Row],[Opening balance]]*$D$6/12,2)</f>
        <v>363.44</v>
      </c>
      <c r="E142" s="34">
        <f>MAX($D$5,-LoanCalculator[[#This Row],[Opening balance]]-LoanCalculator[[#This Row],[Interest]])</f>
        <v>-1600</v>
      </c>
      <c r="F142" s="34">
        <f>SUM(LoanCalculator[[#This Row],[Opening balance]:[Repayment]])</f>
        <v>77914.849999999875</v>
      </c>
    </row>
    <row r="143" spans="2:6" x14ac:dyDescent="0.25">
      <c r="B143" s="30">
        <f>ROW()-ROW(LoanCalculator[[#Headers],[Period]])</f>
        <v>132</v>
      </c>
      <c r="C143" s="34">
        <f t="shared" si="2"/>
        <v>77914.849999999875</v>
      </c>
      <c r="D143" s="34">
        <f>ROUND(LoanCalculator[[#This Row],[Opening balance]]*$D$6/12,2)</f>
        <v>357.76</v>
      </c>
      <c r="E143" s="34">
        <f>MAX($D$5,-LoanCalculator[[#This Row],[Opening balance]]-LoanCalculator[[#This Row],[Interest]])</f>
        <v>-1600</v>
      </c>
      <c r="F143" s="34">
        <f>SUM(LoanCalculator[[#This Row],[Opening balance]:[Repayment]])</f>
        <v>76672.60999999987</v>
      </c>
    </row>
    <row r="144" spans="2:6" x14ac:dyDescent="0.25">
      <c r="B144" s="30">
        <f>ROW()-ROW(LoanCalculator[[#Headers],[Period]])</f>
        <v>133</v>
      </c>
      <c r="C144" s="34">
        <f t="shared" si="2"/>
        <v>76672.60999999987</v>
      </c>
      <c r="D144" s="34">
        <f>ROUND(LoanCalculator[[#This Row],[Opening balance]]*$D$6/12,2)</f>
        <v>352.06</v>
      </c>
      <c r="E144" s="34">
        <f>MAX($D$5,-LoanCalculator[[#This Row],[Opening balance]]-LoanCalculator[[#This Row],[Interest]])</f>
        <v>-1600</v>
      </c>
      <c r="F144" s="34">
        <f>SUM(LoanCalculator[[#This Row],[Opening balance]:[Repayment]])</f>
        <v>75424.669999999867</v>
      </c>
    </row>
    <row r="145" spans="2:6" x14ac:dyDescent="0.25">
      <c r="B145" s="30">
        <f>ROW()-ROW(LoanCalculator[[#Headers],[Period]])</f>
        <v>134</v>
      </c>
      <c r="C145" s="34">
        <f t="shared" si="2"/>
        <v>75424.669999999867</v>
      </c>
      <c r="D145" s="34">
        <f>ROUND(LoanCalculator[[#This Row],[Opening balance]]*$D$6/12,2)</f>
        <v>346.32</v>
      </c>
      <c r="E145" s="34">
        <f>MAX($D$5,-LoanCalculator[[#This Row],[Opening balance]]-LoanCalculator[[#This Row],[Interest]])</f>
        <v>-1600</v>
      </c>
      <c r="F145" s="34">
        <f>SUM(LoanCalculator[[#This Row],[Opening balance]:[Repayment]])</f>
        <v>74170.989999999874</v>
      </c>
    </row>
    <row r="146" spans="2:6" x14ac:dyDescent="0.25">
      <c r="B146" s="30">
        <f>ROW()-ROW(LoanCalculator[[#Headers],[Period]])</f>
        <v>135</v>
      </c>
      <c r="C146" s="34">
        <f t="shared" si="2"/>
        <v>74170.989999999874</v>
      </c>
      <c r="D146" s="34">
        <f>ROUND(LoanCalculator[[#This Row],[Opening balance]]*$D$6/12,2)</f>
        <v>340.57</v>
      </c>
      <c r="E146" s="34">
        <f>MAX($D$5,-LoanCalculator[[#This Row],[Opening balance]]-LoanCalculator[[#This Row],[Interest]])</f>
        <v>-1600</v>
      </c>
      <c r="F146" s="34">
        <f>SUM(LoanCalculator[[#This Row],[Opening balance]:[Repayment]])</f>
        <v>72911.559999999881</v>
      </c>
    </row>
    <row r="147" spans="2:6" x14ac:dyDescent="0.25">
      <c r="B147" s="30">
        <f>ROW()-ROW(LoanCalculator[[#Headers],[Period]])</f>
        <v>136</v>
      </c>
      <c r="C147" s="34">
        <f t="shared" si="2"/>
        <v>72911.559999999881</v>
      </c>
      <c r="D147" s="34">
        <f>ROUND(LoanCalculator[[#This Row],[Opening balance]]*$D$6/12,2)</f>
        <v>334.79</v>
      </c>
      <c r="E147" s="34">
        <f>MAX($D$5,-LoanCalculator[[#This Row],[Opening balance]]-LoanCalculator[[#This Row],[Interest]])</f>
        <v>-1600</v>
      </c>
      <c r="F147" s="34">
        <f>SUM(LoanCalculator[[#This Row],[Opening balance]:[Repayment]])</f>
        <v>71646.349999999875</v>
      </c>
    </row>
    <row r="148" spans="2:6" x14ac:dyDescent="0.25">
      <c r="B148" s="30">
        <f>ROW()-ROW(LoanCalculator[[#Headers],[Period]])</f>
        <v>137</v>
      </c>
      <c r="C148" s="34">
        <f t="shared" si="2"/>
        <v>71646.349999999875</v>
      </c>
      <c r="D148" s="34">
        <f>ROUND(LoanCalculator[[#This Row],[Opening balance]]*$D$6/12,2)</f>
        <v>328.98</v>
      </c>
      <c r="E148" s="34">
        <f>MAX($D$5,-LoanCalculator[[#This Row],[Opening balance]]-LoanCalculator[[#This Row],[Interest]])</f>
        <v>-1600</v>
      </c>
      <c r="F148" s="34">
        <f>SUM(LoanCalculator[[#This Row],[Opening balance]:[Repayment]])</f>
        <v>70375.329999999871</v>
      </c>
    </row>
    <row r="149" spans="2:6" x14ac:dyDescent="0.25">
      <c r="B149" s="30">
        <f>ROW()-ROW(LoanCalculator[[#Headers],[Period]])</f>
        <v>138</v>
      </c>
      <c r="C149" s="34">
        <f t="shared" si="2"/>
        <v>70375.329999999871</v>
      </c>
      <c r="D149" s="34">
        <f>ROUND(LoanCalculator[[#This Row],[Opening balance]]*$D$6/12,2)</f>
        <v>323.14</v>
      </c>
      <c r="E149" s="34">
        <f>MAX($D$5,-LoanCalculator[[#This Row],[Opening balance]]-LoanCalculator[[#This Row],[Interest]])</f>
        <v>-1600</v>
      </c>
      <c r="F149" s="34">
        <f>SUM(LoanCalculator[[#This Row],[Opening balance]:[Repayment]])</f>
        <v>69098.46999999987</v>
      </c>
    </row>
    <row r="150" spans="2:6" x14ac:dyDescent="0.25">
      <c r="B150" s="30">
        <f>ROW()-ROW(LoanCalculator[[#Headers],[Period]])</f>
        <v>139</v>
      </c>
      <c r="C150" s="34">
        <f t="shared" si="2"/>
        <v>69098.46999999987</v>
      </c>
      <c r="D150" s="34">
        <f>ROUND(LoanCalculator[[#This Row],[Opening balance]]*$D$6/12,2)</f>
        <v>317.27999999999997</v>
      </c>
      <c r="E150" s="34">
        <f>MAX($D$5,-LoanCalculator[[#This Row],[Opening balance]]-LoanCalculator[[#This Row],[Interest]])</f>
        <v>-1600</v>
      </c>
      <c r="F150" s="34">
        <f>SUM(LoanCalculator[[#This Row],[Opening balance]:[Repayment]])</f>
        <v>67815.749999999869</v>
      </c>
    </row>
    <row r="151" spans="2:6" x14ac:dyDescent="0.25">
      <c r="B151" s="30">
        <f>ROW()-ROW(LoanCalculator[[#Headers],[Period]])</f>
        <v>140</v>
      </c>
      <c r="C151" s="34">
        <f t="shared" si="2"/>
        <v>67815.749999999869</v>
      </c>
      <c r="D151" s="34">
        <f>ROUND(LoanCalculator[[#This Row],[Opening balance]]*$D$6/12,2)</f>
        <v>311.39</v>
      </c>
      <c r="E151" s="34">
        <f>MAX($D$5,-LoanCalculator[[#This Row],[Opening balance]]-LoanCalculator[[#This Row],[Interest]])</f>
        <v>-1600</v>
      </c>
      <c r="F151" s="34">
        <f>SUM(LoanCalculator[[#This Row],[Opening balance]:[Repayment]])</f>
        <v>66527.139999999868</v>
      </c>
    </row>
    <row r="152" spans="2:6" x14ac:dyDescent="0.25">
      <c r="B152" s="30">
        <f>ROW()-ROW(LoanCalculator[[#Headers],[Period]])</f>
        <v>141</v>
      </c>
      <c r="C152" s="34">
        <f t="shared" si="2"/>
        <v>66527.139999999868</v>
      </c>
      <c r="D152" s="34">
        <f>ROUND(LoanCalculator[[#This Row],[Opening balance]]*$D$6/12,2)</f>
        <v>305.47000000000003</v>
      </c>
      <c r="E152" s="34">
        <f>MAX($D$5,-LoanCalculator[[#This Row],[Opening balance]]-LoanCalculator[[#This Row],[Interest]])</f>
        <v>-1600</v>
      </c>
      <c r="F152" s="34">
        <f>SUM(LoanCalculator[[#This Row],[Opening balance]:[Repayment]])</f>
        <v>65232.60999999987</v>
      </c>
    </row>
    <row r="153" spans="2:6" x14ac:dyDescent="0.25">
      <c r="B153" s="30">
        <f>ROW()-ROW(LoanCalculator[[#Headers],[Period]])</f>
        <v>142</v>
      </c>
      <c r="C153" s="34">
        <f t="shared" si="2"/>
        <v>65232.60999999987</v>
      </c>
      <c r="D153" s="34">
        <f>ROUND(LoanCalculator[[#This Row],[Opening balance]]*$D$6/12,2)</f>
        <v>299.52999999999997</v>
      </c>
      <c r="E153" s="34">
        <f>MAX($D$5,-LoanCalculator[[#This Row],[Opening balance]]-LoanCalculator[[#This Row],[Interest]])</f>
        <v>-1600</v>
      </c>
      <c r="F153" s="34">
        <f>SUM(LoanCalculator[[#This Row],[Opening balance]:[Repayment]])</f>
        <v>63932.139999999868</v>
      </c>
    </row>
    <row r="154" spans="2:6" x14ac:dyDescent="0.25">
      <c r="B154" s="30">
        <f>ROW()-ROW(LoanCalculator[[#Headers],[Period]])</f>
        <v>143</v>
      </c>
      <c r="C154" s="34">
        <f t="shared" si="2"/>
        <v>63932.139999999868</v>
      </c>
      <c r="D154" s="34">
        <f>ROUND(LoanCalculator[[#This Row],[Opening balance]]*$D$6/12,2)</f>
        <v>293.56</v>
      </c>
      <c r="E154" s="34">
        <f>MAX($D$5,-LoanCalculator[[#This Row],[Opening balance]]-LoanCalculator[[#This Row],[Interest]])</f>
        <v>-1600</v>
      </c>
      <c r="F154" s="34">
        <f>SUM(LoanCalculator[[#This Row],[Opening balance]:[Repayment]])</f>
        <v>62625.699999999866</v>
      </c>
    </row>
    <row r="155" spans="2:6" x14ac:dyDescent="0.25">
      <c r="B155" s="30">
        <f>ROW()-ROW(LoanCalculator[[#Headers],[Period]])</f>
        <v>144</v>
      </c>
      <c r="C155" s="34">
        <f t="shared" si="2"/>
        <v>62625.699999999866</v>
      </c>
      <c r="D155" s="34">
        <f>ROUND(LoanCalculator[[#This Row],[Opening balance]]*$D$6/12,2)</f>
        <v>287.56</v>
      </c>
      <c r="E155" s="34">
        <f>MAX($D$5,-LoanCalculator[[#This Row],[Opening balance]]-LoanCalculator[[#This Row],[Interest]])</f>
        <v>-1600</v>
      </c>
      <c r="F155" s="34">
        <f>SUM(LoanCalculator[[#This Row],[Opening balance]:[Repayment]])</f>
        <v>61313.259999999864</v>
      </c>
    </row>
    <row r="156" spans="2:6" x14ac:dyDescent="0.25">
      <c r="B156" s="30">
        <f>ROW()-ROW(LoanCalculator[[#Headers],[Period]])</f>
        <v>145</v>
      </c>
      <c r="C156" s="34">
        <f t="shared" si="2"/>
        <v>61313.259999999864</v>
      </c>
      <c r="D156" s="34">
        <f>ROUND(LoanCalculator[[#This Row],[Opening balance]]*$D$6/12,2)</f>
        <v>281.52999999999997</v>
      </c>
      <c r="E156" s="34">
        <f>MAX($D$5,-LoanCalculator[[#This Row],[Opening balance]]-LoanCalculator[[#This Row],[Interest]])</f>
        <v>-1600</v>
      </c>
      <c r="F156" s="34">
        <f>SUM(LoanCalculator[[#This Row],[Opening balance]:[Repayment]])</f>
        <v>59994.789999999863</v>
      </c>
    </row>
    <row r="157" spans="2:6" x14ac:dyDescent="0.25">
      <c r="B157" s="30">
        <f>ROW()-ROW(LoanCalculator[[#Headers],[Period]])</f>
        <v>146</v>
      </c>
      <c r="C157" s="34">
        <f t="shared" si="2"/>
        <v>59994.789999999863</v>
      </c>
      <c r="D157" s="34">
        <f>ROUND(LoanCalculator[[#This Row],[Opening balance]]*$D$6/12,2)</f>
        <v>275.48</v>
      </c>
      <c r="E157" s="34">
        <f>MAX($D$5,-LoanCalculator[[#This Row],[Opening balance]]-LoanCalculator[[#This Row],[Interest]])</f>
        <v>-1600</v>
      </c>
      <c r="F157" s="34">
        <f>SUM(LoanCalculator[[#This Row],[Opening balance]:[Repayment]])</f>
        <v>58670.269999999866</v>
      </c>
    </row>
    <row r="158" spans="2:6" x14ac:dyDescent="0.25">
      <c r="B158" s="30">
        <f>ROW()-ROW(LoanCalculator[[#Headers],[Period]])</f>
        <v>147</v>
      </c>
      <c r="C158" s="34">
        <f t="shared" si="2"/>
        <v>58670.269999999866</v>
      </c>
      <c r="D158" s="34">
        <f>ROUND(LoanCalculator[[#This Row],[Opening balance]]*$D$6/12,2)</f>
        <v>269.39</v>
      </c>
      <c r="E158" s="34">
        <f>MAX($D$5,-LoanCalculator[[#This Row],[Opening balance]]-LoanCalculator[[#This Row],[Interest]])</f>
        <v>-1600</v>
      </c>
      <c r="F158" s="34">
        <f>SUM(LoanCalculator[[#This Row],[Opening balance]:[Repayment]])</f>
        <v>57339.659999999865</v>
      </c>
    </row>
    <row r="159" spans="2:6" x14ac:dyDescent="0.25">
      <c r="B159" s="30">
        <f>ROW()-ROW(LoanCalculator[[#Headers],[Period]])</f>
        <v>148</v>
      </c>
      <c r="C159" s="34">
        <f t="shared" si="2"/>
        <v>57339.659999999865</v>
      </c>
      <c r="D159" s="34">
        <f>ROUND(LoanCalculator[[#This Row],[Opening balance]]*$D$6/12,2)</f>
        <v>263.27999999999997</v>
      </c>
      <c r="E159" s="34">
        <f>MAX($D$5,-LoanCalculator[[#This Row],[Opening balance]]-LoanCalculator[[#This Row],[Interest]])</f>
        <v>-1600</v>
      </c>
      <c r="F159" s="34">
        <f>SUM(LoanCalculator[[#This Row],[Opening balance]:[Repayment]])</f>
        <v>56002.939999999864</v>
      </c>
    </row>
    <row r="160" spans="2:6" x14ac:dyDescent="0.25">
      <c r="B160" s="30">
        <f>ROW()-ROW(LoanCalculator[[#Headers],[Period]])</f>
        <v>149</v>
      </c>
      <c r="C160" s="34">
        <f t="shared" si="2"/>
        <v>56002.939999999864</v>
      </c>
      <c r="D160" s="34">
        <f>ROUND(LoanCalculator[[#This Row],[Opening balance]]*$D$6/12,2)</f>
        <v>257.14999999999998</v>
      </c>
      <c r="E160" s="34">
        <f>MAX($D$5,-LoanCalculator[[#This Row],[Opening balance]]-LoanCalculator[[#This Row],[Interest]])</f>
        <v>-1600</v>
      </c>
      <c r="F160" s="34">
        <f>SUM(LoanCalculator[[#This Row],[Opening balance]:[Repayment]])</f>
        <v>54660.089999999866</v>
      </c>
    </row>
    <row r="161" spans="2:6" x14ac:dyDescent="0.25">
      <c r="B161" s="30">
        <f>ROW()-ROW(LoanCalculator[[#Headers],[Period]])</f>
        <v>150</v>
      </c>
      <c r="C161" s="34">
        <f t="shared" si="2"/>
        <v>54660.089999999866</v>
      </c>
      <c r="D161" s="34">
        <f>ROUND(LoanCalculator[[#This Row],[Opening balance]]*$D$6/12,2)</f>
        <v>250.98</v>
      </c>
      <c r="E161" s="34">
        <f>MAX($D$5,-LoanCalculator[[#This Row],[Opening balance]]-LoanCalculator[[#This Row],[Interest]])</f>
        <v>-1600</v>
      </c>
      <c r="F161" s="34">
        <f>SUM(LoanCalculator[[#This Row],[Opening balance]:[Repayment]])</f>
        <v>53311.069999999869</v>
      </c>
    </row>
    <row r="162" spans="2:6" x14ac:dyDescent="0.25">
      <c r="B162" s="30">
        <f>ROW()-ROW(LoanCalculator[[#Headers],[Period]])</f>
        <v>151</v>
      </c>
      <c r="C162" s="34">
        <f t="shared" si="2"/>
        <v>53311.069999999869</v>
      </c>
      <c r="D162" s="34">
        <f>ROUND(LoanCalculator[[#This Row],[Opening balance]]*$D$6/12,2)</f>
        <v>244.79</v>
      </c>
      <c r="E162" s="34">
        <f>MAX($D$5,-LoanCalculator[[#This Row],[Opening balance]]-LoanCalculator[[#This Row],[Interest]])</f>
        <v>-1600</v>
      </c>
      <c r="F162" s="34">
        <f>SUM(LoanCalculator[[#This Row],[Opening balance]:[Repayment]])</f>
        <v>51955.85999999987</v>
      </c>
    </row>
    <row r="163" spans="2:6" x14ac:dyDescent="0.25">
      <c r="B163" s="30">
        <f>ROW()-ROW(LoanCalculator[[#Headers],[Period]])</f>
        <v>152</v>
      </c>
      <c r="C163" s="34">
        <f t="shared" si="2"/>
        <v>51955.85999999987</v>
      </c>
      <c r="D163" s="34">
        <f>ROUND(LoanCalculator[[#This Row],[Opening balance]]*$D$6/12,2)</f>
        <v>238.56</v>
      </c>
      <c r="E163" s="34">
        <f>MAX($D$5,-LoanCalculator[[#This Row],[Opening balance]]-LoanCalculator[[#This Row],[Interest]])</f>
        <v>-1600</v>
      </c>
      <c r="F163" s="34">
        <f>SUM(LoanCalculator[[#This Row],[Opening balance]:[Repayment]])</f>
        <v>50594.419999999867</v>
      </c>
    </row>
    <row r="164" spans="2:6" x14ac:dyDescent="0.25">
      <c r="B164" s="30">
        <f>ROW()-ROW(LoanCalculator[[#Headers],[Period]])</f>
        <v>153</v>
      </c>
      <c r="C164" s="34">
        <f t="shared" si="2"/>
        <v>50594.419999999867</v>
      </c>
      <c r="D164" s="34">
        <f>ROUND(LoanCalculator[[#This Row],[Opening balance]]*$D$6/12,2)</f>
        <v>232.31</v>
      </c>
      <c r="E164" s="34">
        <f>MAX($D$5,-LoanCalculator[[#This Row],[Opening balance]]-LoanCalculator[[#This Row],[Interest]])</f>
        <v>-1600</v>
      </c>
      <c r="F164" s="34">
        <f>SUM(LoanCalculator[[#This Row],[Opening balance]:[Repayment]])</f>
        <v>49226.729999999865</v>
      </c>
    </row>
    <row r="165" spans="2:6" x14ac:dyDescent="0.25">
      <c r="B165" s="30">
        <f>ROW()-ROW(LoanCalculator[[#Headers],[Period]])</f>
        <v>154</v>
      </c>
      <c r="C165" s="34">
        <f t="shared" si="2"/>
        <v>49226.729999999865</v>
      </c>
      <c r="D165" s="34">
        <f>ROUND(LoanCalculator[[#This Row],[Opening balance]]*$D$6/12,2)</f>
        <v>226.03</v>
      </c>
      <c r="E165" s="34">
        <f>MAX($D$5,-LoanCalculator[[#This Row],[Opening balance]]-LoanCalculator[[#This Row],[Interest]])</f>
        <v>-1600</v>
      </c>
      <c r="F165" s="34">
        <f>SUM(LoanCalculator[[#This Row],[Opening balance]:[Repayment]])</f>
        <v>47852.759999999864</v>
      </c>
    </row>
    <row r="166" spans="2:6" x14ac:dyDescent="0.25">
      <c r="B166" s="30">
        <f>ROW()-ROW(LoanCalculator[[#Headers],[Period]])</f>
        <v>155</v>
      </c>
      <c r="C166" s="34">
        <f t="shared" si="2"/>
        <v>47852.759999999864</v>
      </c>
      <c r="D166" s="34">
        <f>ROUND(LoanCalculator[[#This Row],[Opening balance]]*$D$6/12,2)</f>
        <v>219.72</v>
      </c>
      <c r="E166" s="34">
        <f>MAX($D$5,-LoanCalculator[[#This Row],[Opening balance]]-LoanCalculator[[#This Row],[Interest]])</f>
        <v>-1600</v>
      </c>
      <c r="F166" s="34">
        <f>SUM(LoanCalculator[[#This Row],[Opening balance]:[Repayment]])</f>
        <v>46472.479999999865</v>
      </c>
    </row>
    <row r="167" spans="2:6" x14ac:dyDescent="0.25">
      <c r="B167" s="30">
        <f>ROW()-ROW(LoanCalculator[[#Headers],[Period]])</f>
        <v>156</v>
      </c>
      <c r="C167" s="34">
        <f t="shared" si="2"/>
        <v>46472.479999999865</v>
      </c>
      <c r="D167" s="34">
        <f>ROUND(LoanCalculator[[#This Row],[Opening balance]]*$D$6/12,2)</f>
        <v>213.39</v>
      </c>
      <c r="E167" s="34">
        <f>MAX($D$5,-LoanCalculator[[#This Row],[Opening balance]]-LoanCalculator[[#This Row],[Interest]])</f>
        <v>-1600</v>
      </c>
      <c r="F167" s="34">
        <f>SUM(LoanCalculator[[#This Row],[Opening balance]:[Repayment]])</f>
        <v>45085.869999999864</v>
      </c>
    </row>
    <row r="168" spans="2:6" x14ac:dyDescent="0.25">
      <c r="B168" s="30">
        <f>ROW()-ROW(LoanCalculator[[#Headers],[Period]])</f>
        <v>157</v>
      </c>
      <c r="C168" s="34">
        <f t="shared" si="2"/>
        <v>45085.869999999864</v>
      </c>
      <c r="D168" s="34">
        <f>ROUND(LoanCalculator[[#This Row],[Opening balance]]*$D$6/12,2)</f>
        <v>207.02</v>
      </c>
      <c r="E168" s="34">
        <f>MAX($D$5,-LoanCalculator[[#This Row],[Opening balance]]-LoanCalculator[[#This Row],[Interest]])</f>
        <v>-1600</v>
      </c>
      <c r="F168" s="34">
        <f>SUM(LoanCalculator[[#This Row],[Opening balance]:[Repayment]])</f>
        <v>43692.889999999861</v>
      </c>
    </row>
    <row r="169" spans="2:6" x14ac:dyDescent="0.25">
      <c r="B169" s="30">
        <f>ROW()-ROW(LoanCalculator[[#Headers],[Period]])</f>
        <v>158</v>
      </c>
      <c r="C169" s="34">
        <f t="shared" si="2"/>
        <v>43692.889999999861</v>
      </c>
      <c r="D169" s="34">
        <f>ROUND(LoanCalculator[[#This Row],[Opening balance]]*$D$6/12,2)</f>
        <v>200.62</v>
      </c>
      <c r="E169" s="34">
        <f>MAX($D$5,-LoanCalculator[[#This Row],[Opening balance]]-LoanCalculator[[#This Row],[Interest]])</f>
        <v>-1600</v>
      </c>
      <c r="F169" s="34">
        <f>SUM(LoanCalculator[[#This Row],[Opening balance]:[Repayment]])</f>
        <v>42293.509999999864</v>
      </c>
    </row>
    <row r="170" spans="2:6" x14ac:dyDescent="0.25">
      <c r="B170" s="30">
        <f>ROW()-ROW(LoanCalculator[[#Headers],[Period]])</f>
        <v>159</v>
      </c>
      <c r="C170" s="34">
        <f t="shared" si="2"/>
        <v>42293.509999999864</v>
      </c>
      <c r="D170" s="34">
        <f>ROUND(LoanCalculator[[#This Row],[Opening balance]]*$D$6/12,2)</f>
        <v>194.2</v>
      </c>
      <c r="E170" s="34">
        <f>MAX($D$5,-LoanCalculator[[#This Row],[Opening balance]]-LoanCalculator[[#This Row],[Interest]])</f>
        <v>-1600</v>
      </c>
      <c r="F170" s="34">
        <f>SUM(LoanCalculator[[#This Row],[Opening balance]:[Repayment]])</f>
        <v>40887.709999999861</v>
      </c>
    </row>
    <row r="171" spans="2:6" x14ac:dyDescent="0.25">
      <c r="B171" s="30">
        <f>ROW()-ROW(LoanCalculator[[#Headers],[Period]])</f>
        <v>160</v>
      </c>
      <c r="C171" s="34">
        <f t="shared" si="2"/>
        <v>40887.709999999861</v>
      </c>
      <c r="D171" s="34">
        <f>ROUND(LoanCalculator[[#This Row],[Opening balance]]*$D$6/12,2)</f>
        <v>187.74</v>
      </c>
      <c r="E171" s="34">
        <f>MAX($D$5,-LoanCalculator[[#This Row],[Opening balance]]-LoanCalculator[[#This Row],[Interest]])</f>
        <v>-1600</v>
      </c>
      <c r="F171" s="34">
        <f>SUM(LoanCalculator[[#This Row],[Opening balance]:[Repayment]])</f>
        <v>39475.449999999859</v>
      </c>
    </row>
    <row r="172" spans="2:6" x14ac:dyDescent="0.25">
      <c r="B172" s="30">
        <f>ROW()-ROW(LoanCalculator[[#Headers],[Period]])</f>
        <v>161</v>
      </c>
      <c r="C172" s="34">
        <f t="shared" si="2"/>
        <v>39475.449999999859</v>
      </c>
      <c r="D172" s="34">
        <f>ROUND(LoanCalculator[[#This Row],[Opening balance]]*$D$6/12,2)</f>
        <v>181.26</v>
      </c>
      <c r="E172" s="34">
        <f>MAX($D$5,-LoanCalculator[[#This Row],[Opening balance]]-LoanCalculator[[#This Row],[Interest]])</f>
        <v>-1600</v>
      </c>
      <c r="F172" s="34">
        <f>SUM(LoanCalculator[[#This Row],[Opening balance]:[Repayment]])</f>
        <v>38056.709999999861</v>
      </c>
    </row>
    <row r="173" spans="2:6" x14ac:dyDescent="0.25">
      <c r="B173" s="30">
        <f>ROW()-ROW(LoanCalculator[[#Headers],[Period]])</f>
        <v>162</v>
      </c>
      <c r="C173" s="34">
        <f t="shared" si="2"/>
        <v>38056.709999999861</v>
      </c>
      <c r="D173" s="34">
        <f>ROUND(LoanCalculator[[#This Row],[Opening balance]]*$D$6/12,2)</f>
        <v>174.74</v>
      </c>
      <c r="E173" s="34">
        <f>MAX($D$5,-LoanCalculator[[#This Row],[Opening balance]]-LoanCalculator[[#This Row],[Interest]])</f>
        <v>-1600</v>
      </c>
      <c r="F173" s="34">
        <f>SUM(LoanCalculator[[#This Row],[Opening balance]:[Repayment]])</f>
        <v>36631.449999999859</v>
      </c>
    </row>
    <row r="174" spans="2:6" x14ac:dyDescent="0.25">
      <c r="B174" s="30">
        <f>ROW()-ROW(LoanCalculator[[#Headers],[Period]])</f>
        <v>163</v>
      </c>
      <c r="C174" s="34">
        <f t="shared" si="2"/>
        <v>36631.449999999859</v>
      </c>
      <c r="D174" s="34">
        <f>ROUND(LoanCalculator[[#This Row],[Opening balance]]*$D$6/12,2)</f>
        <v>168.2</v>
      </c>
      <c r="E174" s="34">
        <f>MAX($D$5,-LoanCalculator[[#This Row],[Opening balance]]-LoanCalculator[[#This Row],[Interest]])</f>
        <v>-1600</v>
      </c>
      <c r="F174" s="34">
        <f>SUM(LoanCalculator[[#This Row],[Opening balance]:[Repayment]])</f>
        <v>35199.649999999856</v>
      </c>
    </row>
    <row r="175" spans="2:6" x14ac:dyDescent="0.25">
      <c r="B175" s="30">
        <f>ROW()-ROW(LoanCalculator[[#Headers],[Period]])</f>
        <v>164</v>
      </c>
      <c r="C175" s="34">
        <f t="shared" si="2"/>
        <v>35199.649999999856</v>
      </c>
      <c r="D175" s="34">
        <f>ROUND(LoanCalculator[[#This Row],[Opening balance]]*$D$6/12,2)</f>
        <v>161.63</v>
      </c>
      <c r="E175" s="34">
        <f>MAX($D$5,-LoanCalculator[[#This Row],[Opening balance]]-LoanCalculator[[#This Row],[Interest]])</f>
        <v>-1600</v>
      </c>
      <c r="F175" s="34">
        <f>SUM(LoanCalculator[[#This Row],[Opening balance]:[Repayment]])</f>
        <v>33761.279999999853</v>
      </c>
    </row>
    <row r="176" spans="2:6" x14ac:dyDescent="0.25">
      <c r="B176" s="30">
        <f>ROW()-ROW(LoanCalculator[[#Headers],[Period]])</f>
        <v>165</v>
      </c>
      <c r="C176" s="34">
        <f t="shared" si="2"/>
        <v>33761.279999999853</v>
      </c>
      <c r="D176" s="34">
        <f>ROUND(LoanCalculator[[#This Row],[Opening balance]]*$D$6/12,2)</f>
        <v>155.02000000000001</v>
      </c>
      <c r="E176" s="34">
        <f>MAX($D$5,-LoanCalculator[[#This Row],[Opening balance]]-LoanCalculator[[#This Row],[Interest]])</f>
        <v>-1600</v>
      </c>
      <c r="F176" s="34">
        <f>SUM(LoanCalculator[[#This Row],[Opening balance]:[Repayment]])</f>
        <v>32316.29999999985</v>
      </c>
    </row>
    <row r="177" spans="2:6" x14ac:dyDescent="0.25">
      <c r="B177" s="30">
        <f>ROW()-ROW(LoanCalculator[[#Headers],[Period]])</f>
        <v>166</v>
      </c>
      <c r="C177" s="34">
        <f t="shared" si="2"/>
        <v>32316.29999999985</v>
      </c>
      <c r="D177" s="34">
        <f>ROUND(LoanCalculator[[#This Row],[Opening balance]]*$D$6/12,2)</f>
        <v>148.38999999999999</v>
      </c>
      <c r="E177" s="34">
        <f>MAX($D$5,-LoanCalculator[[#This Row],[Opening balance]]-LoanCalculator[[#This Row],[Interest]])</f>
        <v>-1600</v>
      </c>
      <c r="F177" s="34">
        <f>SUM(LoanCalculator[[#This Row],[Opening balance]:[Repayment]])</f>
        <v>30864.68999999985</v>
      </c>
    </row>
    <row r="178" spans="2:6" x14ac:dyDescent="0.25">
      <c r="B178" s="30">
        <f>ROW()-ROW(LoanCalculator[[#Headers],[Period]])</f>
        <v>167</v>
      </c>
      <c r="C178" s="34">
        <f t="shared" si="2"/>
        <v>30864.68999999985</v>
      </c>
      <c r="D178" s="34">
        <f>ROUND(LoanCalculator[[#This Row],[Opening balance]]*$D$6/12,2)</f>
        <v>141.72</v>
      </c>
      <c r="E178" s="34">
        <f>MAX($D$5,-LoanCalculator[[#This Row],[Opening balance]]-LoanCalculator[[#This Row],[Interest]])</f>
        <v>-1600</v>
      </c>
      <c r="F178" s="34">
        <f>SUM(LoanCalculator[[#This Row],[Opening balance]:[Repayment]])</f>
        <v>29406.409999999851</v>
      </c>
    </row>
    <row r="179" spans="2:6" x14ac:dyDescent="0.25">
      <c r="B179" s="30">
        <f>ROW()-ROW(LoanCalculator[[#Headers],[Period]])</f>
        <v>168</v>
      </c>
      <c r="C179" s="34">
        <f t="shared" si="2"/>
        <v>29406.409999999851</v>
      </c>
      <c r="D179" s="34">
        <f>ROUND(LoanCalculator[[#This Row],[Opening balance]]*$D$6/12,2)</f>
        <v>135.02000000000001</v>
      </c>
      <c r="E179" s="34">
        <f>MAX($D$5,-LoanCalculator[[#This Row],[Opening balance]]-LoanCalculator[[#This Row],[Interest]])</f>
        <v>-1600</v>
      </c>
      <c r="F179" s="34">
        <f>SUM(LoanCalculator[[#This Row],[Opening balance]:[Repayment]])</f>
        <v>27941.429999999851</v>
      </c>
    </row>
    <row r="180" spans="2:6" x14ac:dyDescent="0.25">
      <c r="B180" s="30">
        <f>ROW()-ROW(LoanCalculator[[#Headers],[Period]])</f>
        <v>169</v>
      </c>
      <c r="C180" s="34">
        <f t="shared" si="2"/>
        <v>27941.429999999851</v>
      </c>
      <c r="D180" s="34">
        <f>ROUND(LoanCalculator[[#This Row],[Opening balance]]*$D$6/12,2)</f>
        <v>128.30000000000001</v>
      </c>
      <c r="E180" s="34">
        <f>MAX($D$5,-LoanCalculator[[#This Row],[Opening balance]]-LoanCalculator[[#This Row],[Interest]])</f>
        <v>-1600</v>
      </c>
      <c r="F180" s="34">
        <f>SUM(LoanCalculator[[#This Row],[Opening balance]:[Repayment]])</f>
        <v>26469.72999999985</v>
      </c>
    </row>
    <row r="181" spans="2:6" x14ac:dyDescent="0.25">
      <c r="B181" s="30">
        <f>ROW()-ROW(LoanCalculator[[#Headers],[Period]])</f>
        <v>170</v>
      </c>
      <c r="C181" s="34">
        <f t="shared" si="2"/>
        <v>26469.72999999985</v>
      </c>
      <c r="D181" s="34">
        <f>ROUND(LoanCalculator[[#This Row],[Opening balance]]*$D$6/12,2)</f>
        <v>121.54</v>
      </c>
      <c r="E181" s="34">
        <f>MAX($D$5,-LoanCalculator[[#This Row],[Opening balance]]-LoanCalculator[[#This Row],[Interest]])</f>
        <v>-1600</v>
      </c>
      <c r="F181" s="34">
        <f>SUM(LoanCalculator[[#This Row],[Opening balance]:[Repayment]])</f>
        <v>24991.269999999851</v>
      </c>
    </row>
    <row r="182" spans="2:6" x14ac:dyDescent="0.25">
      <c r="B182" s="30">
        <f>ROW()-ROW(LoanCalculator[[#Headers],[Period]])</f>
        <v>171</v>
      </c>
      <c r="C182" s="34">
        <f t="shared" si="2"/>
        <v>24991.269999999851</v>
      </c>
      <c r="D182" s="34">
        <f>ROUND(LoanCalculator[[#This Row],[Opening balance]]*$D$6/12,2)</f>
        <v>114.75</v>
      </c>
      <c r="E182" s="34">
        <f>MAX($D$5,-LoanCalculator[[#This Row],[Opening balance]]-LoanCalculator[[#This Row],[Interest]])</f>
        <v>-1600</v>
      </c>
      <c r="F182" s="34">
        <f>SUM(LoanCalculator[[#This Row],[Opening balance]:[Repayment]])</f>
        <v>23506.019999999851</v>
      </c>
    </row>
    <row r="183" spans="2:6" x14ac:dyDescent="0.25">
      <c r="B183" s="30">
        <f>ROW()-ROW(LoanCalculator[[#Headers],[Period]])</f>
        <v>172</v>
      </c>
      <c r="C183" s="34">
        <f t="shared" si="2"/>
        <v>23506.019999999851</v>
      </c>
      <c r="D183" s="34">
        <f>ROUND(LoanCalculator[[#This Row],[Opening balance]]*$D$6/12,2)</f>
        <v>107.93</v>
      </c>
      <c r="E183" s="34">
        <f>MAX($D$5,-LoanCalculator[[#This Row],[Opening balance]]-LoanCalculator[[#This Row],[Interest]])</f>
        <v>-1600</v>
      </c>
      <c r="F183" s="34">
        <f>SUM(LoanCalculator[[#This Row],[Opening balance]:[Repayment]])</f>
        <v>22013.949999999852</v>
      </c>
    </row>
    <row r="184" spans="2:6" x14ac:dyDescent="0.25">
      <c r="B184" s="30">
        <f>ROW()-ROW(LoanCalculator[[#Headers],[Period]])</f>
        <v>173</v>
      </c>
      <c r="C184" s="34">
        <f t="shared" si="2"/>
        <v>22013.949999999852</v>
      </c>
      <c r="D184" s="34">
        <f>ROUND(LoanCalculator[[#This Row],[Opening balance]]*$D$6/12,2)</f>
        <v>101.08</v>
      </c>
      <c r="E184" s="34">
        <f>MAX($D$5,-LoanCalculator[[#This Row],[Opening balance]]-LoanCalculator[[#This Row],[Interest]])</f>
        <v>-1600</v>
      </c>
      <c r="F184" s="34">
        <f>SUM(LoanCalculator[[#This Row],[Opening balance]:[Repayment]])</f>
        <v>20515.029999999853</v>
      </c>
    </row>
    <row r="185" spans="2:6" x14ac:dyDescent="0.25">
      <c r="B185" s="30">
        <f>ROW()-ROW(LoanCalculator[[#Headers],[Period]])</f>
        <v>174</v>
      </c>
      <c r="C185" s="34">
        <f t="shared" si="2"/>
        <v>20515.029999999853</v>
      </c>
      <c r="D185" s="34">
        <f>ROUND(LoanCalculator[[#This Row],[Opening balance]]*$D$6/12,2)</f>
        <v>94.2</v>
      </c>
      <c r="E185" s="34">
        <f>MAX($D$5,-LoanCalculator[[#This Row],[Opening balance]]-LoanCalculator[[#This Row],[Interest]])</f>
        <v>-1600</v>
      </c>
      <c r="F185" s="34">
        <f>SUM(LoanCalculator[[#This Row],[Opening balance]:[Repayment]])</f>
        <v>19009.229999999854</v>
      </c>
    </row>
    <row r="186" spans="2:6" x14ac:dyDescent="0.25">
      <c r="B186" s="30">
        <f>ROW()-ROW(LoanCalculator[[#Headers],[Period]])</f>
        <v>175</v>
      </c>
      <c r="C186" s="34">
        <f t="shared" si="2"/>
        <v>19009.229999999854</v>
      </c>
      <c r="D186" s="34">
        <f>ROUND(LoanCalculator[[#This Row],[Opening balance]]*$D$6/12,2)</f>
        <v>87.28</v>
      </c>
      <c r="E186" s="34">
        <f>MAX($D$5,-LoanCalculator[[#This Row],[Opening balance]]-LoanCalculator[[#This Row],[Interest]])</f>
        <v>-1600</v>
      </c>
      <c r="F186" s="34">
        <f>SUM(LoanCalculator[[#This Row],[Opening balance]:[Repayment]])</f>
        <v>17496.509999999853</v>
      </c>
    </row>
    <row r="187" spans="2:6" x14ac:dyDescent="0.25">
      <c r="B187" s="30">
        <f>ROW()-ROW(LoanCalculator[[#Headers],[Period]])</f>
        <v>176</v>
      </c>
      <c r="C187" s="34">
        <f t="shared" si="2"/>
        <v>17496.509999999853</v>
      </c>
      <c r="D187" s="34">
        <f>ROUND(LoanCalculator[[#This Row],[Opening balance]]*$D$6/12,2)</f>
        <v>80.34</v>
      </c>
      <c r="E187" s="34">
        <f>MAX($D$5,-LoanCalculator[[#This Row],[Opening balance]]-LoanCalculator[[#This Row],[Interest]])</f>
        <v>-1600</v>
      </c>
      <c r="F187" s="34">
        <f>SUM(LoanCalculator[[#This Row],[Opening balance]:[Repayment]])</f>
        <v>15976.849999999853</v>
      </c>
    </row>
    <row r="188" spans="2:6" x14ac:dyDescent="0.25">
      <c r="B188" s="30">
        <f>ROW()-ROW(LoanCalculator[[#Headers],[Period]])</f>
        <v>177</v>
      </c>
      <c r="C188" s="34">
        <f t="shared" si="2"/>
        <v>15976.849999999853</v>
      </c>
      <c r="D188" s="34">
        <f>ROUND(LoanCalculator[[#This Row],[Opening balance]]*$D$6/12,2)</f>
        <v>73.36</v>
      </c>
      <c r="E188" s="34">
        <f>MAX($D$5,-LoanCalculator[[#This Row],[Opening balance]]-LoanCalculator[[#This Row],[Interest]])</f>
        <v>-1600</v>
      </c>
      <c r="F188" s="34">
        <f>SUM(LoanCalculator[[#This Row],[Opening balance]:[Repayment]])</f>
        <v>14450.209999999854</v>
      </c>
    </row>
    <row r="189" spans="2:6" x14ac:dyDescent="0.25">
      <c r="B189" s="30">
        <f>ROW()-ROW(LoanCalculator[[#Headers],[Period]])</f>
        <v>178</v>
      </c>
      <c r="C189" s="34">
        <f t="shared" si="2"/>
        <v>14450.209999999854</v>
      </c>
      <c r="D189" s="34">
        <f>ROUND(LoanCalculator[[#This Row],[Opening balance]]*$D$6/12,2)</f>
        <v>66.349999999999994</v>
      </c>
      <c r="E189" s="34">
        <f>MAX($D$5,-LoanCalculator[[#This Row],[Opening balance]]-LoanCalculator[[#This Row],[Interest]])</f>
        <v>-1600</v>
      </c>
      <c r="F189" s="34">
        <f>SUM(LoanCalculator[[#This Row],[Opening balance]:[Repayment]])</f>
        <v>12916.559999999854</v>
      </c>
    </row>
    <row r="190" spans="2:6" x14ac:dyDescent="0.25">
      <c r="B190" s="30">
        <f>ROW()-ROW(LoanCalculator[[#Headers],[Period]])</f>
        <v>179</v>
      </c>
      <c r="C190" s="34">
        <f t="shared" si="2"/>
        <v>12916.559999999854</v>
      </c>
      <c r="D190" s="34">
        <f>ROUND(LoanCalculator[[#This Row],[Opening balance]]*$D$6/12,2)</f>
        <v>59.31</v>
      </c>
      <c r="E190" s="34">
        <f>MAX($D$5,-LoanCalculator[[#This Row],[Opening balance]]-LoanCalculator[[#This Row],[Interest]])</f>
        <v>-1600</v>
      </c>
      <c r="F190" s="34">
        <f>SUM(LoanCalculator[[#This Row],[Opening balance]:[Repayment]])</f>
        <v>11375.869999999853</v>
      </c>
    </row>
    <row r="191" spans="2:6" x14ac:dyDescent="0.25">
      <c r="B191" s="30">
        <f>ROW()-ROW(LoanCalculator[[#Headers],[Period]])</f>
        <v>180</v>
      </c>
      <c r="C191" s="34">
        <f t="shared" si="2"/>
        <v>11375.869999999853</v>
      </c>
      <c r="D191" s="34">
        <f>ROUND(LoanCalculator[[#This Row],[Opening balance]]*$D$6/12,2)</f>
        <v>52.23</v>
      </c>
      <c r="E191" s="34">
        <f>MAX($D$5,-LoanCalculator[[#This Row],[Opening balance]]-LoanCalculator[[#This Row],[Interest]])</f>
        <v>-1600</v>
      </c>
      <c r="F191" s="34">
        <f>SUM(LoanCalculator[[#This Row],[Opening balance]:[Repayment]])</f>
        <v>9828.099999999853</v>
      </c>
    </row>
    <row r="192" spans="2:6" x14ac:dyDescent="0.25">
      <c r="B192" s="30">
        <f>ROW()-ROW(LoanCalculator[[#Headers],[Period]])</f>
        <v>181</v>
      </c>
      <c r="C192" s="34">
        <f t="shared" si="2"/>
        <v>9828.099999999853</v>
      </c>
      <c r="D192" s="34">
        <f>ROUND(LoanCalculator[[#This Row],[Opening balance]]*$D$6/12,2)</f>
        <v>45.13</v>
      </c>
      <c r="E192" s="34">
        <f>MAX($D$5,-LoanCalculator[[#This Row],[Opening balance]]-LoanCalculator[[#This Row],[Interest]])</f>
        <v>-1600</v>
      </c>
      <c r="F192" s="34">
        <f>SUM(LoanCalculator[[#This Row],[Opening balance]:[Repayment]])</f>
        <v>8273.2299999998522</v>
      </c>
    </row>
    <row r="193" spans="2:6" x14ac:dyDescent="0.25">
      <c r="B193" s="30">
        <f>ROW()-ROW(LoanCalculator[[#Headers],[Period]])</f>
        <v>182</v>
      </c>
      <c r="C193" s="34">
        <f t="shared" si="2"/>
        <v>8273.2299999998522</v>
      </c>
      <c r="D193" s="34">
        <f>ROUND(LoanCalculator[[#This Row],[Opening balance]]*$D$6/12,2)</f>
        <v>37.99</v>
      </c>
      <c r="E193" s="34">
        <f>MAX($D$5,-LoanCalculator[[#This Row],[Opening balance]]-LoanCalculator[[#This Row],[Interest]])</f>
        <v>-1600</v>
      </c>
      <c r="F193" s="34">
        <f>SUM(LoanCalculator[[#This Row],[Opening balance]:[Repayment]])</f>
        <v>6711.219999999852</v>
      </c>
    </row>
    <row r="194" spans="2:6" x14ac:dyDescent="0.25">
      <c r="B194" s="30">
        <f>ROW()-ROW(LoanCalculator[[#Headers],[Period]])</f>
        <v>183</v>
      </c>
      <c r="C194" s="34">
        <f t="shared" si="2"/>
        <v>6711.219999999852</v>
      </c>
      <c r="D194" s="34">
        <f>ROUND(LoanCalculator[[#This Row],[Opening balance]]*$D$6/12,2)</f>
        <v>30.82</v>
      </c>
      <c r="E194" s="34">
        <f>MAX($D$5,-LoanCalculator[[#This Row],[Opening balance]]-LoanCalculator[[#This Row],[Interest]])</f>
        <v>-1600</v>
      </c>
      <c r="F194" s="34">
        <f>SUM(LoanCalculator[[#This Row],[Opening balance]:[Repayment]])</f>
        <v>5142.0399999998517</v>
      </c>
    </row>
    <row r="195" spans="2:6" x14ac:dyDescent="0.25">
      <c r="B195" s="30">
        <f>ROW()-ROW(LoanCalculator[[#Headers],[Period]])</f>
        <v>184</v>
      </c>
      <c r="C195" s="34">
        <f t="shared" si="2"/>
        <v>5142.0399999998517</v>
      </c>
      <c r="D195" s="34">
        <f>ROUND(LoanCalculator[[#This Row],[Opening balance]]*$D$6/12,2)</f>
        <v>23.61</v>
      </c>
      <c r="E195" s="34">
        <f>MAX($D$5,-LoanCalculator[[#This Row],[Opening balance]]-LoanCalculator[[#This Row],[Interest]])</f>
        <v>-1600</v>
      </c>
      <c r="F195" s="34">
        <f>SUM(LoanCalculator[[#This Row],[Opening balance]:[Repayment]])</f>
        <v>3565.6499999998514</v>
      </c>
    </row>
    <row r="196" spans="2:6" x14ac:dyDescent="0.25">
      <c r="B196" s="30">
        <f>ROW()-ROW(LoanCalculator[[#Headers],[Period]])</f>
        <v>185</v>
      </c>
      <c r="C196" s="34">
        <f t="shared" si="2"/>
        <v>3565.6499999998514</v>
      </c>
      <c r="D196" s="34">
        <f>ROUND(LoanCalculator[[#This Row],[Opening balance]]*$D$6/12,2)</f>
        <v>16.37</v>
      </c>
      <c r="E196" s="34">
        <f>MAX($D$5,-LoanCalculator[[#This Row],[Opening balance]]-LoanCalculator[[#This Row],[Interest]])</f>
        <v>-1600</v>
      </c>
      <c r="F196" s="34">
        <f>SUM(LoanCalculator[[#This Row],[Opening balance]:[Repayment]])</f>
        <v>1982.0199999998513</v>
      </c>
    </row>
    <row r="197" spans="2:6" x14ac:dyDescent="0.25">
      <c r="B197" s="30">
        <f>ROW()-ROW(LoanCalculator[[#Headers],[Period]])</f>
        <v>186</v>
      </c>
      <c r="C197" s="34">
        <f t="shared" si="2"/>
        <v>1982.0199999998513</v>
      </c>
      <c r="D197" s="34">
        <f>ROUND(LoanCalculator[[#This Row],[Opening balance]]*$D$6/12,2)</f>
        <v>9.1</v>
      </c>
      <c r="E197" s="34">
        <f>MAX($D$5,-LoanCalculator[[#This Row],[Opening balance]]-LoanCalculator[[#This Row],[Interest]])</f>
        <v>-1600</v>
      </c>
      <c r="F197" s="34">
        <f>SUM(LoanCalculator[[#This Row],[Opening balance]:[Repayment]])</f>
        <v>391.11999999985119</v>
      </c>
    </row>
    <row r="198" spans="2:6" x14ac:dyDescent="0.25">
      <c r="B198" s="30">
        <f>ROW()-ROW(LoanCalculator[[#Headers],[Period]])</f>
        <v>187</v>
      </c>
      <c r="C198" s="34">
        <f t="shared" si="2"/>
        <v>391.11999999985119</v>
      </c>
      <c r="D198" s="34">
        <f>ROUND(LoanCalculator[[#This Row],[Opening balance]]*$D$6/12,2)</f>
        <v>1.8</v>
      </c>
      <c r="E198" s="34">
        <f>MAX($D$5,-LoanCalculator[[#This Row],[Opening balance]]-LoanCalculator[[#This Row],[Interest]])</f>
        <v>-392.9199999998512</v>
      </c>
      <c r="F198" s="34">
        <f>SUM(LoanCalculator[[#This Row],[Opening balance]:[Repayment]])</f>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8BC6-7035-4F54-A8CF-6BDBB291916F}">
  <sheetPr codeName="Sheet8"/>
  <dimension ref="B2:H56"/>
  <sheetViews>
    <sheetView zoomScale="150" zoomScaleNormal="150" workbookViewId="0">
      <selection activeCell="B2" sqref="B2"/>
    </sheetView>
  </sheetViews>
  <sheetFormatPr defaultRowHeight="13.2" x14ac:dyDescent="0.25"/>
  <cols>
    <col min="3" max="3" width="11.44140625" bestFit="1" customWidth="1"/>
    <col min="4" max="4" width="11.5546875" bestFit="1" customWidth="1"/>
    <col min="5" max="5" width="15.44140625" bestFit="1" customWidth="1"/>
    <col min="7" max="8" width="11.44140625" bestFit="1" customWidth="1"/>
  </cols>
  <sheetData>
    <row r="2" spans="2:8" x14ac:dyDescent="0.25">
      <c r="B2" t="s">
        <v>133</v>
      </c>
    </row>
    <row r="4" spans="2:8" x14ac:dyDescent="0.25">
      <c r="B4" s="1" t="s">
        <v>134</v>
      </c>
    </row>
    <row r="5" spans="2:8" x14ac:dyDescent="0.25">
      <c r="B5" t="s">
        <v>135</v>
      </c>
    </row>
    <row r="6" spans="2:8" s="1" customFormat="1" x14ac:dyDescent="0.25">
      <c r="C6" s="1" t="s">
        <v>8</v>
      </c>
      <c r="D6" s="1" t="s">
        <v>61</v>
      </c>
      <c r="F6" s="1" t="s">
        <v>138</v>
      </c>
      <c r="G6" s="1" t="s">
        <v>136</v>
      </c>
      <c r="H6" s="1" t="s">
        <v>137</v>
      </c>
    </row>
    <row r="7" spans="2:8" x14ac:dyDescent="0.25">
      <c r="C7" s="18">
        <v>8000</v>
      </c>
      <c r="D7">
        <f>IF(C7&lt;10000,1,IF(C7&lt;20000,2,3))</f>
        <v>1</v>
      </c>
      <c r="F7">
        <v>1</v>
      </c>
      <c r="G7" s="18">
        <v>0</v>
      </c>
      <c r="H7" s="18">
        <v>10000</v>
      </c>
    </row>
    <row r="8" spans="2:8" x14ac:dyDescent="0.25">
      <c r="C8" s="18">
        <v>11000</v>
      </c>
      <c r="D8">
        <f t="shared" ref="D8:D12" si="0">IF(C8&lt;10000,1,IF(C8&lt;20000,2,3))</f>
        <v>2</v>
      </c>
      <c r="F8">
        <v>2</v>
      </c>
      <c r="G8" s="18">
        <f>H7</f>
        <v>10000</v>
      </c>
      <c r="H8" s="18">
        <v>20000</v>
      </c>
    </row>
    <row r="9" spans="2:8" x14ac:dyDescent="0.25">
      <c r="C9" s="18">
        <v>22000</v>
      </c>
      <c r="D9">
        <f t="shared" si="0"/>
        <v>3</v>
      </c>
      <c r="F9">
        <v>3</v>
      </c>
      <c r="G9" s="18">
        <f>H8</f>
        <v>20000</v>
      </c>
      <c r="H9" s="18"/>
    </row>
    <row r="10" spans="2:8" x14ac:dyDescent="0.25">
      <c r="C10" s="18">
        <v>6000</v>
      </c>
      <c r="D10">
        <f t="shared" si="0"/>
        <v>1</v>
      </c>
    </row>
    <row r="11" spans="2:8" x14ac:dyDescent="0.25">
      <c r="C11" s="18">
        <v>5000</v>
      </c>
      <c r="D11">
        <f t="shared" si="0"/>
        <v>1</v>
      </c>
    </row>
    <row r="12" spans="2:8" x14ac:dyDescent="0.25">
      <c r="C12" s="18">
        <v>17000</v>
      </c>
      <c r="D12">
        <f t="shared" si="0"/>
        <v>2</v>
      </c>
    </row>
    <row r="13" spans="2:8" x14ac:dyDescent="0.25">
      <c r="B13" t="s">
        <v>139</v>
      </c>
    </row>
    <row r="14" spans="2:8" x14ac:dyDescent="0.25">
      <c r="B14" t="s">
        <v>140</v>
      </c>
    </row>
    <row r="15" spans="2:8" x14ac:dyDescent="0.25">
      <c r="C15" s="1" t="s">
        <v>8</v>
      </c>
      <c r="D15" s="1" t="s">
        <v>61</v>
      </c>
      <c r="F15" s="1" t="s">
        <v>138</v>
      </c>
      <c r="G15" s="1" t="s">
        <v>136</v>
      </c>
      <c r="H15" s="1" t="s">
        <v>137</v>
      </c>
    </row>
    <row r="16" spans="2:8" x14ac:dyDescent="0.25">
      <c r="C16" s="18">
        <v>8000</v>
      </c>
      <c r="D16">
        <f>INDEX($F$16:$F$18,MATCH(C16,$G$16:$G$18,1))</f>
        <v>1</v>
      </c>
      <c r="F16">
        <v>1</v>
      </c>
      <c r="G16" s="18">
        <v>0</v>
      </c>
      <c r="H16" s="18">
        <v>10000</v>
      </c>
    </row>
    <row r="17" spans="2:8" x14ac:dyDescent="0.25">
      <c r="C17" s="18">
        <v>11000</v>
      </c>
      <c r="D17">
        <f t="shared" ref="D17:D21" si="1">INDEX($F$16:$F$18,MATCH(C17,$G$16:$G$18,1))</f>
        <v>2</v>
      </c>
      <c r="F17">
        <v>2</v>
      </c>
      <c r="G17" s="18">
        <f>H16</f>
        <v>10000</v>
      </c>
      <c r="H17" s="18">
        <v>20000</v>
      </c>
    </row>
    <row r="18" spans="2:8" x14ac:dyDescent="0.25">
      <c r="C18" s="18">
        <v>22000</v>
      </c>
      <c r="D18">
        <f t="shared" si="1"/>
        <v>3</v>
      </c>
      <c r="F18">
        <v>3</v>
      </c>
      <c r="G18" s="18">
        <f>H17</f>
        <v>20000</v>
      </c>
      <c r="H18" s="18"/>
    </row>
    <row r="19" spans="2:8" x14ac:dyDescent="0.25">
      <c r="C19" s="18">
        <v>6000</v>
      </c>
      <c r="D19">
        <f t="shared" si="1"/>
        <v>1</v>
      </c>
    </row>
    <row r="20" spans="2:8" x14ac:dyDescent="0.25">
      <c r="C20" s="18">
        <v>5000</v>
      </c>
      <c r="D20">
        <f t="shared" si="1"/>
        <v>1</v>
      </c>
    </row>
    <row r="21" spans="2:8" x14ac:dyDescent="0.25">
      <c r="C21" s="18">
        <v>17000</v>
      </c>
      <c r="D21">
        <f t="shared" si="1"/>
        <v>2</v>
      </c>
    </row>
    <row r="22" spans="2:8" x14ac:dyDescent="0.25">
      <c r="B22" t="s">
        <v>141</v>
      </c>
    </row>
    <row r="23" spans="2:8" x14ac:dyDescent="0.25">
      <c r="C23" s="1" t="s">
        <v>138</v>
      </c>
      <c r="D23" s="1" t="s">
        <v>137</v>
      </c>
      <c r="E23" s="1" t="s">
        <v>142</v>
      </c>
    </row>
    <row r="24" spans="2:8" x14ac:dyDescent="0.25">
      <c r="C24">
        <v>1</v>
      </c>
      <c r="D24" s="18">
        <v>10000</v>
      </c>
      <c r="E24" cm="1">
        <f t="array" ref="E24:E26">FREQUENCY(C16:C21,D24:D25)</f>
        <v>3</v>
      </c>
    </row>
    <row r="25" spans="2:8" x14ac:dyDescent="0.25">
      <c r="C25">
        <v>2</v>
      </c>
      <c r="D25" s="18">
        <v>20000</v>
      </c>
      <c r="E25">
        <v>2</v>
      </c>
    </row>
    <row r="26" spans="2:8" x14ac:dyDescent="0.25">
      <c r="C26">
        <v>3</v>
      </c>
      <c r="D26" s="18"/>
      <c r="E26">
        <v>1</v>
      </c>
    </row>
    <row r="27" spans="2:8" x14ac:dyDescent="0.25">
      <c r="B27" s="1" t="s">
        <v>143</v>
      </c>
    </row>
    <row r="28" spans="2:8" x14ac:dyDescent="0.25">
      <c r="B28" t="s">
        <v>144</v>
      </c>
    </row>
    <row r="29" spans="2:8" x14ac:dyDescent="0.25">
      <c r="B29" t="s">
        <v>146</v>
      </c>
    </row>
    <row r="30" spans="2:8" s="1" customFormat="1" x14ac:dyDescent="0.25">
      <c r="C30" s="1" t="s">
        <v>145</v>
      </c>
      <c r="D30" s="1" t="s">
        <v>8</v>
      </c>
    </row>
    <row r="31" spans="2:8" x14ac:dyDescent="0.25">
      <c r="C31" t="s">
        <v>17</v>
      </c>
      <c r="D31" s="28">
        <v>5184.43</v>
      </c>
    </row>
    <row r="32" spans="2:8" x14ac:dyDescent="0.25">
      <c r="C32" t="s">
        <v>17</v>
      </c>
      <c r="D32" s="28">
        <v>5741.76</v>
      </c>
    </row>
    <row r="33" spans="2:4" x14ac:dyDescent="0.25">
      <c r="C33" t="s">
        <v>17</v>
      </c>
      <c r="D33" s="28">
        <v>4278.12</v>
      </c>
    </row>
    <row r="34" spans="2:4" x14ac:dyDescent="0.25">
      <c r="C34" t="s">
        <v>17</v>
      </c>
      <c r="D34" s="28">
        <v>3081.99</v>
      </c>
    </row>
    <row r="35" spans="2:4" x14ac:dyDescent="0.25">
      <c r="C35" t="s">
        <v>17</v>
      </c>
      <c r="D35" s="28">
        <v>3335.01</v>
      </c>
    </row>
    <row r="36" spans="2:4" x14ac:dyDescent="0.25">
      <c r="C36" t="s">
        <v>18</v>
      </c>
      <c r="D36" s="28">
        <v>2310.84</v>
      </c>
    </row>
    <row r="37" spans="2:4" x14ac:dyDescent="0.25">
      <c r="C37" t="s">
        <v>18</v>
      </c>
      <c r="D37" s="28">
        <v>9945.69</v>
      </c>
    </row>
    <row r="38" spans="2:4" x14ac:dyDescent="0.25">
      <c r="C38" t="s">
        <v>18</v>
      </c>
      <c r="D38" s="28">
        <v>6984.74</v>
      </c>
    </row>
    <row r="39" spans="2:4" x14ac:dyDescent="0.25">
      <c r="C39" t="s">
        <v>18</v>
      </c>
      <c r="D39" s="28">
        <v>4528.16</v>
      </c>
    </row>
    <row r="40" spans="2:4" x14ac:dyDescent="0.25">
      <c r="C40" t="s">
        <v>16</v>
      </c>
      <c r="D40" s="28">
        <v>5673.3</v>
      </c>
    </row>
    <row r="41" spans="2:4" x14ac:dyDescent="0.25">
      <c r="C41" t="s">
        <v>16</v>
      </c>
      <c r="D41" s="28">
        <v>5271.49</v>
      </c>
    </row>
    <row r="42" spans="2:4" x14ac:dyDescent="0.25">
      <c r="C42" t="s">
        <v>16</v>
      </c>
      <c r="D42" s="28">
        <v>2593.0300000000002</v>
      </c>
    </row>
    <row r="43" spans="2:4" x14ac:dyDescent="0.25">
      <c r="B43" t="s">
        <v>147</v>
      </c>
    </row>
    <row r="44" spans="2:4" x14ac:dyDescent="0.25">
      <c r="C44" s="1" t="s">
        <v>145</v>
      </c>
      <c r="D44" s="1" t="s">
        <v>8</v>
      </c>
    </row>
    <row r="45" spans="2:4" x14ac:dyDescent="0.25">
      <c r="C45" t="s">
        <v>17</v>
      </c>
      <c r="D45" s="28">
        <v>5184.43</v>
      </c>
    </row>
    <row r="46" spans="2:4" x14ac:dyDescent="0.25">
      <c r="C46" t="s">
        <v>17</v>
      </c>
      <c r="D46" s="28">
        <v>5741.76</v>
      </c>
    </row>
    <row r="47" spans="2:4" x14ac:dyDescent="0.25">
      <c r="C47" t="s">
        <v>17</v>
      </c>
      <c r="D47" s="28">
        <v>4278.12</v>
      </c>
    </row>
    <row r="48" spans="2:4" x14ac:dyDescent="0.25">
      <c r="C48" t="s">
        <v>17</v>
      </c>
      <c r="D48" s="28">
        <v>3081.99</v>
      </c>
    </row>
    <row r="49" spans="3:4" x14ac:dyDescent="0.25">
      <c r="C49" t="s">
        <v>17</v>
      </c>
      <c r="D49" s="28">
        <v>3335.01</v>
      </c>
    </row>
    <row r="50" spans="3:4" x14ac:dyDescent="0.25">
      <c r="C50" t="s">
        <v>18</v>
      </c>
      <c r="D50" s="28">
        <v>2310.84</v>
      </c>
    </row>
    <row r="51" spans="3:4" x14ac:dyDescent="0.25">
      <c r="C51" t="s">
        <v>18</v>
      </c>
      <c r="D51" s="28">
        <v>9945.69</v>
      </c>
    </row>
    <row r="52" spans="3:4" x14ac:dyDescent="0.25">
      <c r="C52" t="s">
        <v>18</v>
      </c>
      <c r="D52" s="28">
        <v>6984.74</v>
      </c>
    </row>
    <row r="53" spans="3:4" x14ac:dyDescent="0.25">
      <c r="C53" t="s">
        <v>18</v>
      </c>
      <c r="D53" s="28">
        <v>4528.16</v>
      </c>
    </row>
    <row r="54" spans="3:4" x14ac:dyDescent="0.25">
      <c r="C54" t="s">
        <v>16</v>
      </c>
      <c r="D54" s="28">
        <v>5673.3</v>
      </c>
    </row>
    <row r="55" spans="3:4" x14ac:dyDescent="0.25">
      <c r="C55" t="s">
        <v>16</v>
      </c>
      <c r="D55" s="28">
        <v>5271.49</v>
      </c>
    </row>
    <row r="56" spans="3:4" x14ac:dyDescent="0.25">
      <c r="C56" t="s">
        <v>16</v>
      </c>
      <c r="D56" s="28">
        <v>2593.0300000000002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F21B-23AC-4219-8535-EA6FAA7A43AD}">
  <sheetPr codeName="Sheet9"/>
  <dimension ref="B2:H33"/>
  <sheetViews>
    <sheetView zoomScale="150" zoomScaleNormal="150" workbookViewId="0">
      <selection activeCell="B2" sqref="B2"/>
    </sheetView>
  </sheetViews>
  <sheetFormatPr defaultRowHeight="13.2" x14ac:dyDescent="0.25"/>
  <cols>
    <col min="4" max="4" width="10.21875" bestFit="1" customWidth="1"/>
    <col min="5" max="5" width="9.109375" bestFit="1" customWidth="1"/>
    <col min="7" max="7" width="10.21875" bestFit="1" customWidth="1"/>
  </cols>
  <sheetData>
    <row r="2" spans="2:8" x14ac:dyDescent="0.25">
      <c r="B2" t="s">
        <v>148</v>
      </c>
    </row>
    <row r="3" spans="2:8" x14ac:dyDescent="0.25">
      <c r="B3" t="s">
        <v>149</v>
      </c>
    </row>
    <row r="4" spans="2:8" x14ac:dyDescent="0.25">
      <c r="B4" t="s">
        <v>150</v>
      </c>
    </row>
    <row r="5" spans="2:8" x14ac:dyDescent="0.25">
      <c r="B5" t="s">
        <v>151</v>
      </c>
    </row>
    <row r="7" spans="2:8" x14ac:dyDescent="0.25">
      <c r="B7" t="s">
        <v>152</v>
      </c>
    </row>
    <row r="8" spans="2:8" x14ac:dyDescent="0.25">
      <c r="C8">
        <v>1</v>
      </c>
      <c r="D8" cm="1">
        <f t="array" ref="D8:D11">C8:C11+1</f>
        <v>2</v>
      </c>
    </row>
    <row r="9" spans="2:8" x14ac:dyDescent="0.25">
      <c r="C9">
        <v>2</v>
      </c>
      <c r="D9">
        <v>3</v>
      </c>
    </row>
    <row r="10" spans="2:8" x14ac:dyDescent="0.25">
      <c r="C10">
        <v>3</v>
      </c>
      <c r="D10">
        <v>4</v>
      </c>
    </row>
    <row r="11" spans="2:8" x14ac:dyDescent="0.25">
      <c r="C11">
        <v>4</v>
      </c>
      <c r="D11">
        <v>5</v>
      </c>
    </row>
    <row r="12" spans="2:8" x14ac:dyDescent="0.25">
      <c r="B12" t="s">
        <v>153</v>
      </c>
    </row>
    <row r="13" spans="2:8" x14ac:dyDescent="0.25">
      <c r="C13" s="1">
        <v>5</v>
      </c>
      <c r="D13" cm="1">
        <f t="array" ref="D13:H13">_xlfn.SEQUENCE(,C13)</f>
        <v>1</v>
      </c>
      <c r="E13">
        <v>2</v>
      </c>
      <c r="F13">
        <v>3</v>
      </c>
      <c r="G13">
        <v>4</v>
      </c>
      <c r="H13">
        <v>5</v>
      </c>
    </row>
    <row r="14" spans="2:8" x14ac:dyDescent="0.25">
      <c r="C14" cm="1">
        <f t="array" ref="C14:C18">_xlfn.SEQUENCE(C13)</f>
        <v>1</v>
      </c>
    </row>
    <row r="15" spans="2:8" x14ac:dyDescent="0.25">
      <c r="C15">
        <v>2</v>
      </c>
    </row>
    <row r="16" spans="2:8" x14ac:dyDescent="0.25">
      <c r="C16">
        <v>3</v>
      </c>
    </row>
    <row r="17" spans="2:7" x14ac:dyDescent="0.25">
      <c r="C17">
        <v>4</v>
      </c>
    </row>
    <row r="18" spans="2:7" x14ac:dyDescent="0.25">
      <c r="C18">
        <v>5</v>
      </c>
    </row>
    <row r="19" spans="2:7" x14ac:dyDescent="0.25">
      <c r="B19" t="s">
        <v>154</v>
      </c>
    </row>
    <row r="20" spans="2:7" x14ac:dyDescent="0.25">
      <c r="C20">
        <v>3</v>
      </c>
      <c r="D20" cm="1">
        <f t="array" ref="D20:D22">_xlfn.SEQUENCE(C20)</f>
        <v>1</v>
      </c>
      <c r="E20" cm="1">
        <f t="array" ref="E20:E22">_xlfn.ANCHORARRAY(D20)*2</f>
        <v>2</v>
      </c>
    </row>
    <row r="21" spans="2:7" x14ac:dyDescent="0.25">
      <c r="D21">
        <v>2</v>
      </c>
      <c r="E21">
        <v>4</v>
      </c>
    </row>
    <row r="22" spans="2:7" x14ac:dyDescent="0.25">
      <c r="D22">
        <v>3</v>
      </c>
      <c r="E22">
        <v>6</v>
      </c>
    </row>
    <row r="24" spans="2:7" x14ac:dyDescent="0.25">
      <c r="B24" t="s">
        <v>155</v>
      </c>
    </row>
    <row r="25" spans="2:7" x14ac:dyDescent="0.25">
      <c r="C25" t="str" cm="1">
        <f t="array" ref="C25:C27">_xlfn.UNIQUE('7 - Grouping data'!C45:C56)</f>
        <v>A</v>
      </c>
      <c r="D25" s="28" cm="1">
        <f t="array" ref="D25:D27">SUMIFS('7 - Grouping data'!D45:D56,'7 - Grouping data'!C45:C56,_xlfn.ANCHORARRAY('8 - Dynamic arrays'!C25))</f>
        <v>21621.310000000005</v>
      </c>
      <c r="F25" t="str" cm="1">
        <f t="array" ref="F25:G27">_xlfn.SORTBY(_xlfn.ANCHORARRAY(C25):_xlfn.ANCHORARRAY(D25),_xlfn.ANCHORARRAY(D25),-1)</f>
        <v>B</v>
      </c>
      <c r="G25" s="28">
        <v>23769.43</v>
      </c>
    </row>
    <row r="26" spans="2:7" x14ac:dyDescent="0.25">
      <c r="C26" t="str">
        <v>B</v>
      </c>
      <c r="D26" s="28">
        <v>23769.43</v>
      </c>
      <c r="F26" t="str">
        <v>A</v>
      </c>
      <c r="G26" s="28">
        <v>21621.310000000005</v>
      </c>
    </row>
    <row r="27" spans="2:7" x14ac:dyDescent="0.25">
      <c r="C27" t="str">
        <v>C</v>
      </c>
      <c r="D27" s="28">
        <v>13537.820000000002</v>
      </c>
      <c r="F27" t="str">
        <v>C</v>
      </c>
      <c r="G27" s="28">
        <v>13537.820000000002</v>
      </c>
    </row>
    <row r="29" spans="2:7" x14ac:dyDescent="0.25">
      <c r="C29" t="s">
        <v>17</v>
      </c>
      <c r="D29" t="str" cm="1">
        <f t="array" ref="D29:E33">_xlfn._xlws.FILTER('7 - Grouping data'!C45:D56,'7 - Grouping data'!C45:C56='8 - Dynamic arrays'!C29)</f>
        <v>A</v>
      </c>
      <c r="E29" s="28">
        <v>5184.43</v>
      </c>
    </row>
    <row r="30" spans="2:7" x14ac:dyDescent="0.25">
      <c r="D30" t="str">
        <v>A</v>
      </c>
      <c r="E30" s="28">
        <v>5741.76</v>
      </c>
    </row>
    <row r="31" spans="2:7" x14ac:dyDescent="0.25">
      <c r="D31" t="str">
        <v>A</v>
      </c>
      <c r="E31" s="28">
        <v>4278.12</v>
      </c>
    </row>
    <row r="32" spans="2:7" x14ac:dyDescent="0.25">
      <c r="D32" t="str">
        <v>A</v>
      </c>
      <c r="E32" s="28">
        <v>3081.99</v>
      </c>
    </row>
    <row r="33" spans="4:5" x14ac:dyDescent="0.25">
      <c r="D33" t="str">
        <v>A</v>
      </c>
      <c r="E33" s="28">
        <v>3335.01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7"/>
  <sheetViews>
    <sheetView zoomScale="150" zoomScaleNormal="150" workbookViewId="0"/>
  </sheetViews>
  <sheetFormatPr defaultRowHeight="13.2" x14ac:dyDescent="0.25"/>
  <sheetData>
    <row r="1" spans="1:1" x14ac:dyDescent="0.25">
      <c r="A1" t="s">
        <v>9</v>
      </c>
    </row>
    <row r="2" spans="1:1" x14ac:dyDescent="0.25">
      <c r="A2" t="s">
        <v>10</v>
      </c>
    </row>
    <row r="3" spans="1:1" x14ac:dyDescent="0.25">
      <c r="A3" t="s">
        <v>11</v>
      </c>
    </row>
    <row r="4" spans="1:1" x14ac:dyDescent="0.25">
      <c r="A4" t="s">
        <v>12</v>
      </c>
    </row>
    <row r="5" spans="1:1" x14ac:dyDescent="0.25">
      <c r="A5" t="s">
        <v>13</v>
      </c>
    </row>
    <row r="6" spans="1:1" x14ac:dyDescent="0.25">
      <c r="A6" t="s">
        <v>14</v>
      </c>
    </row>
    <row r="7" spans="1:1" x14ac:dyDescent="0.25">
      <c r="A7"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0CF36617A99546ABD981ECDFAB9DD5" ma:contentTypeVersion="11" ma:contentTypeDescription="Create a new document." ma:contentTypeScope="" ma:versionID="c75508d9fb7835ec6b00cb551d3e5e68">
  <xsd:schema xmlns:xsd="http://www.w3.org/2001/XMLSchema" xmlns:xs="http://www.w3.org/2001/XMLSchema" xmlns:p="http://schemas.microsoft.com/office/2006/metadata/properties" xmlns:ns2="104e1703-f198-4744-b1ec-cdd3f8b9e58b" xmlns:ns3="71605d3f-cb7f-40e7-8e00-fb1d7d2d0757" targetNamespace="http://schemas.microsoft.com/office/2006/metadata/properties" ma:root="true" ma:fieldsID="2f6cdee5355c10af100639318aa3870c" ns2:_="" ns3:_="">
    <xsd:import namespace="104e1703-f198-4744-b1ec-cdd3f8b9e58b"/>
    <xsd:import namespace="71605d3f-cb7f-40e7-8e00-fb1d7d2d0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e1703-f198-4744-b1ec-cdd3f8b9e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05d3f-cb7f-40e7-8e00-fb1d7d2d07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A98246-96E7-4A5E-A0FD-06EAB13EAF8F}">
  <ds:schemaRefs>
    <ds:schemaRef ds:uri="http://schemas.microsoft.com/sharepoint/v3/contenttype/forms"/>
  </ds:schemaRefs>
</ds:datastoreItem>
</file>

<file path=customXml/itemProps2.xml><?xml version="1.0" encoding="utf-8"?>
<ds:datastoreItem xmlns:ds="http://schemas.openxmlformats.org/officeDocument/2006/customXml" ds:itemID="{2B3AEA48-F00D-462D-B46B-E616E65FBBC3}"/>
</file>

<file path=customXml/itemProps3.xml><?xml version="1.0" encoding="utf-8"?>
<ds:datastoreItem xmlns:ds="http://schemas.openxmlformats.org/officeDocument/2006/customXml" ds:itemID="{BE114118-4DDA-4DC1-8B07-490E15AAC124}">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3fd4857-4e4e-4730-8bc0-0b485393c21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1 - IF</vt:lpstr>
      <vt:lpstr>2 - Rounding functions</vt:lpstr>
      <vt:lpstr>3 - Data validation</vt:lpstr>
      <vt:lpstr>4 - Charts</vt:lpstr>
      <vt:lpstr>5 - Sparklines</vt:lpstr>
      <vt:lpstr>6 - Loan calculations</vt:lpstr>
      <vt:lpstr>7 - Grouping data</vt:lpstr>
      <vt:lpstr>8 - Dynamic arrays</vt:lpstr>
      <vt:lpstr>Dropdowns data</vt:lpstr>
    </vt:vector>
  </TitlesOfParts>
  <Manager/>
  <Company>ICAEW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Lyford-Smith</dc:creator>
  <cp:keywords/>
  <dc:description/>
  <cp:lastModifiedBy>David Lyford-Smith</cp:lastModifiedBy>
  <cp:revision/>
  <dcterms:created xsi:type="dcterms:W3CDTF">2019-03-29T12:12:28Z</dcterms:created>
  <dcterms:modified xsi:type="dcterms:W3CDTF">2020-08-21T10:38:52Z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0x010100520CF36617A99546ABD981ECDFAB9DD5</vt:lpwstr>
  </property>
  <property fmtid="{D5CDD505-2E9C-101B-9397-08002B2CF9AE}" pid="3" name="AuthorIds_UIVersion_512">
    <vt:lpwstr>472</vt:lpwstr>
  </property>
  <property fmtid="{D5CDD505-2E9C-101B-9397-08002B2CF9AE}" pid="4" name="Tags">
    <vt:lpwstr/>
  </property>
  <property fmtid="{D5CDD505-2E9C-101B-9397-08002B2CF9AE}" pid="5" name="AuthorIds_UIVersion_5120">
    <vt:lpwstr>472</vt:lpwstr>
  </property>
</Properties>
</file>