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/>
  <xr:revisionPtr revIDLastSave="0" documentId="13_ncr:1_{C82E7BA7-6657-4FB9-A6F3-7201FF1FA4EE}" xr6:coauthVersionLast="47" xr6:coauthVersionMax="47" xr10:uidLastSave="{00000000-0000-0000-0000-000000000000}"/>
  <workbookProtection workbookPassword="ED9C" lockStructure="1"/>
  <bookViews>
    <workbookView xWindow="28680" yWindow="-120" windowWidth="29040" windowHeight="15720" tabRatio="845" xr2:uid="{00000000-000D-0000-FFFF-FFFF00000000}"/>
  </bookViews>
  <sheets>
    <sheet name="Cover" sheetId="22" r:id="rId1"/>
    <sheet name="Summary" sheetId="21" r:id="rId2"/>
    <sheet name="Assumptions" sheetId="2" r:id="rId3"/>
    <sheet name="Scenarios" sheetId="7" r:id="rId4"/>
    <sheet name="Model" sheetId="6" r:id="rId5"/>
  </sheets>
  <definedNames>
    <definedName name="_xlnm.Print_Area" localSheetId="2">Assumptions!$B$1:$O$31,Assumptions!$B$33:$O$62</definedName>
    <definedName name="_xlnm.Print_Area" localSheetId="0">Cover!$A$1:$J$28</definedName>
    <definedName name="_xlnm.Print_Area" localSheetId="4">Model!$B$1:$O$29,Model!$B$31:$O$70,Model!$B$72:$O$111,Model!$B$113:$O$145,Model!$B$147:$O$189,Model!$B$191:$O$212,Model!$B$214:$O$235,Model!$B$237:$O$269,Model!$B$271:$O$316,Model!$B$318:$O$341</definedName>
    <definedName name="_xlnm.Print_Area" localSheetId="3">Scenarios!$B$1:$K$36</definedName>
    <definedName name="_xlnm.Print_Area" localSheetId="1">Summary!$B$1:$Q$58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21" l="1"/>
  <c r="B13" i="22"/>
  <c r="J165" i="6"/>
  <c r="I165" i="6"/>
  <c r="H165" i="6"/>
  <c r="I265" i="6"/>
  <c r="I264" i="6"/>
  <c r="I263" i="6"/>
  <c r="I262" i="6"/>
  <c r="I261" i="6"/>
  <c r="I260" i="6"/>
  <c r="I249" i="6"/>
  <c r="I184" i="6"/>
  <c r="H184" i="6"/>
  <c r="I178" i="6"/>
  <c r="H178" i="6"/>
  <c r="H180" i="6"/>
  <c r="I174" i="6"/>
  <c r="I180" i="6"/>
  <c r="H174" i="6"/>
  <c r="I161" i="6"/>
  <c r="I167" i="6"/>
  <c r="H161" i="6"/>
  <c r="H167" i="6"/>
  <c r="J139" i="6"/>
  <c r="I139" i="6"/>
  <c r="H139" i="6"/>
  <c r="J27" i="6"/>
  <c r="J26" i="6"/>
  <c r="J28" i="6"/>
  <c r="J85" i="6"/>
  <c r="Z11" i="21"/>
  <c r="I85" i="6"/>
  <c r="Y11" i="21"/>
  <c r="H85" i="6"/>
  <c r="L224" i="6"/>
  <c r="M224" i="6"/>
  <c r="N224" i="6"/>
  <c r="O224" i="6"/>
  <c r="K224" i="6"/>
  <c r="J340" i="6"/>
  <c r="K337" i="6"/>
  <c r="K331" i="6"/>
  <c r="L331" i="6"/>
  <c r="M331" i="6"/>
  <c r="N331" i="6"/>
  <c r="O331" i="6"/>
  <c r="J329" i="6"/>
  <c r="K327" i="6"/>
  <c r="K329" i="6"/>
  <c r="O328" i="6"/>
  <c r="O294" i="6"/>
  <c r="N328" i="6"/>
  <c r="M328" i="6"/>
  <c r="M294" i="6"/>
  <c r="L328" i="6"/>
  <c r="L137" i="6"/>
  <c r="K328" i="6"/>
  <c r="K137" i="6"/>
  <c r="K311" i="6"/>
  <c r="L311" i="6"/>
  <c r="J309" i="6"/>
  <c r="K307" i="6"/>
  <c r="O308" i="6"/>
  <c r="N308" i="6"/>
  <c r="M308" i="6"/>
  <c r="M293" i="6"/>
  <c r="L308" i="6"/>
  <c r="L293" i="6"/>
  <c r="K308" i="6"/>
  <c r="K136" i="6"/>
  <c r="K302" i="6"/>
  <c r="L302" i="6"/>
  <c r="M302" i="6"/>
  <c r="N302" i="6"/>
  <c r="O302" i="6"/>
  <c r="J300" i="6"/>
  <c r="K298" i="6"/>
  <c r="K286" i="6"/>
  <c r="L286" i="6"/>
  <c r="M286" i="6"/>
  <c r="N286" i="6"/>
  <c r="O286" i="6"/>
  <c r="J284" i="6"/>
  <c r="K282" i="6"/>
  <c r="J265" i="6"/>
  <c r="J264" i="6"/>
  <c r="J263" i="6"/>
  <c r="J262" i="6"/>
  <c r="J261" i="6"/>
  <c r="J260" i="6"/>
  <c r="O257" i="6"/>
  <c r="N257" i="6"/>
  <c r="M257" i="6"/>
  <c r="L257" i="6"/>
  <c r="K257" i="6"/>
  <c r="O256" i="6"/>
  <c r="N256" i="6"/>
  <c r="M256" i="6"/>
  <c r="L256" i="6"/>
  <c r="K256" i="6"/>
  <c r="O255" i="6"/>
  <c r="N255" i="6"/>
  <c r="M255" i="6"/>
  <c r="L255" i="6"/>
  <c r="K255" i="6"/>
  <c r="O254" i="6"/>
  <c r="N254" i="6"/>
  <c r="M254" i="6"/>
  <c r="L254" i="6"/>
  <c r="K254" i="6"/>
  <c r="O253" i="6"/>
  <c r="N253" i="6"/>
  <c r="M253" i="6"/>
  <c r="L253" i="6"/>
  <c r="K253" i="6"/>
  <c r="O252" i="6"/>
  <c r="N252" i="6"/>
  <c r="M252" i="6"/>
  <c r="L252" i="6"/>
  <c r="K252" i="6"/>
  <c r="E220" i="6"/>
  <c r="F200" i="6"/>
  <c r="F199" i="6"/>
  <c r="K202" i="6"/>
  <c r="L202" i="6"/>
  <c r="M202" i="6"/>
  <c r="N202" i="6"/>
  <c r="O202" i="6"/>
  <c r="J184" i="6"/>
  <c r="J178" i="6"/>
  <c r="J174" i="6"/>
  <c r="J180" i="6"/>
  <c r="J186" i="6"/>
  <c r="J161" i="6"/>
  <c r="J167" i="6"/>
  <c r="J188" i="6"/>
  <c r="J131" i="6"/>
  <c r="I131" i="6"/>
  <c r="H131" i="6"/>
  <c r="O130" i="6"/>
  <c r="N130" i="6"/>
  <c r="M130" i="6"/>
  <c r="L130" i="6"/>
  <c r="K130" i="6"/>
  <c r="K164" i="6"/>
  <c r="L164" i="6"/>
  <c r="M164" i="6"/>
  <c r="N164" i="6"/>
  <c r="O164" i="6"/>
  <c r="O129" i="6"/>
  <c r="N129" i="6"/>
  <c r="N131" i="6"/>
  <c r="N292" i="6"/>
  <c r="M129" i="6"/>
  <c r="L129" i="6"/>
  <c r="K129" i="6"/>
  <c r="J102" i="6"/>
  <c r="I102" i="6"/>
  <c r="H102" i="6"/>
  <c r="O91" i="6"/>
  <c r="N91" i="6"/>
  <c r="M91" i="6"/>
  <c r="L91" i="6"/>
  <c r="K91" i="6"/>
  <c r="K88" i="6"/>
  <c r="K66" i="6"/>
  <c r="D66" i="6"/>
  <c r="K65" i="6"/>
  <c r="K64" i="6"/>
  <c r="K67" i="6"/>
  <c r="D50" i="6"/>
  <c r="D65" i="6"/>
  <c r="D49" i="6"/>
  <c r="D64" i="6"/>
  <c r="K45" i="6"/>
  <c r="D45" i="6"/>
  <c r="D60" i="6"/>
  <c r="K44" i="6"/>
  <c r="K46" i="6"/>
  <c r="D44" i="6"/>
  <c r="D59" i="6"/>
  <c r="K17" i="6"/>
  <c r="L17" i="6"/>
  <c r="M17" i="6"/>
  <c r="N17" i="6"/>
  <c r="O17" i="6"/>
  <c r="J13" i="6"/>
  <c r="J7" i="2"/>
  <c r="J37" i="2"/>
  <c r="K37" i="2"/>
  <c r="L37" i="2"/>
  <c r="M37" i="2"/>
  <c r="N37" i="2"/>
  <c r="B1" i="2"/>
  <c r="B1" i="7"/>
  <c r="B2" i="6"/>
  <c r="G30" i="7"/>
  <c r="K19" i="6"/>
  <c r="G23" i="7"/>
  <c r="K10" i="6"/>
  <c r="G12" i="7"/>
  <c r="H12" i="7"/>
  <c r="L11" i="6"/>
  <c r="I12" i="7"/>
  <c r="M11" i="6"/>
  <c r="M40" i="6"/>
  <c r="G6" i="7"/>
  <c r="K7" i="6"/>
  <c r="H30" i="7"/>
  <c r="L19" i="6"/>
  <c r="H23" i="7"/>
  <c r="L10" i="6"/>
  <c r="I30" i="7"/>
  <c r="M19" i="6"/>
  <c r="I23" i="7"/>
  <c r="M10" i="6"/>
  <c r="J30" i="7"/>
  <c r="N19" i="6"/>
  <c r="J23" i="7"/>
  <c r="N10" i="6"/>
  <c r="J12" i="7"/>
  <c r="N11" i="6"/>
  <c r="N40" i="6"/>
  <c r="K30" i="7"/>
  <c r="O19" i="6"/>
  <c r="K23" i="7"/>
  <c r="O10" i="6"/>
  <c r="K12" i="7"/>
  <c r="O11" i="6"/>
  <c r="O40" i="6"/>
  <c r="J6" i="2"/>
  <c r="C14" i="7"/>
  <c r="T5" i="21"/>
  <c r="K27" i="7"/>
  <c r="J27" i="7"/>
  <c r="I27" i="7"/>
  <c r="H27" i="7"/>
  <c r="K26" i="7"/>
  <c r="J26" i="7"/>
  <c r="I26" i="7"/>
  <c r="H26" i="7"/>
  <c r="G27" i="7"/>
  <c r="G26" i="7"/>
  <c r="C27" i="7"/>
  <c r="C26" i="7"/>
  <c r="E18" i="2"/>
  <c r="C15" i="7"/>
  <c r="C33" i="7"/>
  <c r="C16" i="7"/>
  <c r="C34" i="7"/>
  <c r="C25" i="7"/>
  <c r="N137" i="6"/>
  <c r="N294" i="6"/>
  <c r="M131" i="6"/>
  <c r="M292" i="6"/>
  <c r="K294" i="6"/>
  <c r="D230" i="6"/>
  <c r="D227" i="6"/>
  <c r="J266" i="6"/>
  <c r="H89" i="6"/>
  <c r="H92" i="6"/>
  <c r="N293" i="6"/>
  <c r="N136" i="6"/>
  <c r="I89" i="6"/>
  <c r="B33" i="2"/>
  <c r="I125" i="6"/>
  <c r="H125" i="6"/>
  <c r="H142" i="6"/>
  <c r="H144" i="6"/>
  <c r="I143" i="6"/>
  <c r="J89" i="6"/>
  <c r="J248" i="6"/>
  <c r="J249" i="6"/>
  <c r="J125" i="6"/>
  <c r="M137" i="6"/>
  <c r="X11" i="21"/>
  <c r="O136" i="6"/>
  <c r="O293" i="6"/>
  <c r="L131" i="6"/>
  <c r="L292" i="6"/>
  <c r="M136" i="6"/>
  <c r="C32" i="7"/>
  <c r="I142" i="6"/>
  <c r="I144" i="6"/>
  <c r="J143" i="6"/>
  <c r="K309" i="6"/>
  <c r="O137" i="6"/>
  <c r="K131" i="6"/>
  <c r="K292" i="6"/>
  <c r="O131" i="6"/>
  <c r="O292" i="6"/>
  <c r="I186" i="6"/>
  <c r="H186" i="6"/>
  <c r="J142" i="6"/>
  <c r="Z12" i="21"/>
  <c r="Y12" i="21"/>
  <c r="H108" i="6"/>
  <c r="X14" i="21"/>
  <c r="X15" i="21"/>
  <c r="H95" i="6"/>
  <c r="J7" i="6"/>
  <c r="K220" i="6"/>
  <c r="K37" i="6"/>
  <c r="K243" i="6"/>
  <c r="K119" i="6"/>
  <c r="K277" i="6"/>
  <c r="AA8" i="21"/>
  <c r="K8" i="21"/>
  <c r="K26" i="21"/>
  <c r="K44" i="21"/>
  <c r="K78" i="6"/>
  <c r="K197" i="6"/>
  <c r="K324" i="6"/>
  <c r="K153" i="6"/>
  <c r="K177" i="6"/>
  <c r="K312" i="6"/>
  <c r="L307" i="6"/>
  <c r="L309" i="6"/>
  <c r="L327" i="6"/>
  <c r="L329" i="6"/>
  <c r="K182" i="6"/>
  <c r="M311" i="6"/>
  <c r="L312" i="6"/>
  <c r="H188" i="6"/>
  <c r="I188" i="6"/>
  <c r="I248" i="6"/>
  <c r="L136" i="6"/>
  <c r="O1" i="6"/>
  <c r="O31" i="6"/>
  <c r="O72" i="6"/>
  <c r="O191" i="6"/>
  <c r="O214" i="6"/>
  <c r="O237" i="6"/>
  <c r="O271" i="6"/>
  <c r="O318" i="6"/>
  <c r="J92" i="6"/>
  <c r="K293" i="6"/>
  <c r="L294" i="6"/>
  <c r="K11" i="6"/>
  <c r="K12" i="6"/>
  <c r="I266" i="6"/>
  <c r="J268" i="6"/>
  <c r="H6" i="7"/>
  <c r="J20" i="6"/>
  <c r="K20" i="6"/>
  <c r="I92" i="6"/>
  <c r="L40" i="6"/>
  <c r="L65" i="6"/>
  <c r="L88" i="6"/>
  <c r="M88" i="6"/>
  <c r="N88" i="6"/>
  <c r="O88" i="6"/>
  <c r="B114" i="6"/>
  <c r="B148" i="6"/>
  <c r="B73" i="6"/>
  <c r="B192" i="6"/>
  <c r="B32" i="6"/>
  <c r="B238" i="6"/>
  <c r="B272" i="6"/>
  <c r="B319" i="6"/>
  <c r="B215" i="6"/>
  <c r="K39" i="6"/>
  <c r="K26" i="6"/>
  <c r="K28" i="6"/>
  <c r="L20" i="6"/>
  <c r="J144" i="6"/>
  <c r="K143" i="6"/>
  <c r="K27" i="6"/>
  <c r="K84" i="6"/>
  <c r="L12" i="6"/>
  <c r="M12" i="6"/>
  <c r="N12" i="6"/>
  <c r="K13" i="6"/>
  <c r="L7" i="6"/>
  <c r="I6" i="7"/>
  <c r="D205" i="6"/>
  <c r="M327" i="6"/>
  <c r="M329" i="6"/>
  <c r="L182" i="6"/>
  <c r="O113" i="6"/>
  <c r="O147" i="6"/>
  <c r="N311" i="6"/>
  <c r="K22" i="6"/>
  <c r="M307" i="6"/>
  <c r="M309" i="6"/>
  <c r="L177" i="6"/>
  <c r="H109" i="6"/>
  <c r="H98" i="6"/>
  <c r="H104" i="6"/>
  <c r="X18" i="21"/>
  <c r="X19" i="21"/>
  <c r="Y14" i="21"/>
  <c r="I95" i="6"/>
  <c r="I108" i="6"/>
  <c r="Z14" i="21"/>
  <c r="Z15" i="21"/>
  <c r="J108" i="6"/>
  <c r="J95" i="6"/>
  <c r="I7" i="6"/>
  <c r="Z8" i="21"/>
  <c r="J8" i="21"/>
  <c r="J26" i="21"/>
  <c r="J44" i="21"/>
  <c r="J197" i="6"/>
  <c r="J277" i="6"/>
  <c r="J324" i="6"/>
  <c r="J243" i="6"/>
  <c r="J37" i="6"/>
  <c r="J78" i="6"/>
  <c r="J119" i="6"/>
  <c r="J153" i="6"/>
  <c r="K80" i="6"/>
  <c r="J80" i="6"/>
  <c r="J39" i="6"/>
  <c r="L13" i="6"/>
  <c r="L64" i="6"/>
  <c r="M64" i="6"/>
  <c r="L44" i="6"/>
  <c r="M44" i="6"/>
  <c r="L66" i="6"/>
  <c r="M66" i="6"/>
  <c r="N66" i="6"/>
  <c r="L45" i="6"/>
  <c r="K51" i="6"/>
  <c r="K59" i="6"/>
  <c r="K49" i="6"/>
  <c r="K50" i="6"/>
  <c r="K60" i="6"/>
  <c r="K83" i="6"/>
  <c r="K85" i="6"/>
  <c r="M65" i="6"/>
  <c r="M13" i="6"/>
  <c r="L27" i="6"/>
  <c r="L84" i="6"/>
  <c r="L39" i="6"/>
  <c r="L49" i="6"/>
  <c r="L80" i="6"/>
  <c r="M20" i="6"/>
  <c r="L26" i="6"/>
  <c r="L22" i="6"/>
  <c r="E205" i="6"/>
  <c r="K205" i="6"/>
  <c r="K211" i="6"/>
  <c r="K94" i="6"/>
  <c r="K122" i="6"/>
  <c r="K163" i="6"/>
  <c r="D206" i="6"/>
  <c r="K245" i="6"/>
  <c r="J6" i="7"/>
  <c r="M7" i="6"/>
  <c r="J109" i="6"/>
  <c r="J98" i="6"/>
  <c r="J104" i="6"/>
  <c r="N307" i="6"/>
  <c r="N309" i="6"/>
  <c r="M177" i="6"/>
  <c r="I98" i="6"/>
  <c r="I104" i="6"/>
  <c r="Y18" i="21"/>
  <c r="I109" i="6"/>
  <c r="O311" i="6"/>
  <c r="N312" i="6"/>
  <c r="L119" i="6"/>
  <c r="L78" i="6"/>
  <c r="L243" i="6"/>
  <c r="L245" i="6"/>
  <c r="L324" i="6"/>
  <c r="L220" i="6"/>
  <c r="AB8" i="21"/>
  <c r="L8" i="21"/>
  <c r="L26" i="21"/>
  <c r="L44" i="21"/>
  <c r="L153" i="6"/>
  <c r="L277" i="6"/>
  <c r="L197" i="6"/>
  <c r="L37" i="6"/>
  <c r="M182" i="6"/>
  <c r="N327" i="6"/>
  <c r="N329" i="6"/>
  <c r="M312" i="6"/>
  <c r="Z16" i="21"/>
  <c r="Y15" i="21"/>
  <c r="Y16" i="21"/>
  <c r="I37" i="6"/>
  <c r="I78" i="6"/>
  <c r="I153" i="6"/>
  <c r="H7" i="6"/>
  <c r="I197" i="6"/>
  <c r="I119" i="6"/>
  <c r="Y8" i="21"/>
  <c r="I8" i="21"/>
  <c r="I26" i="21"/>
  <c r="I44" i="21"/>
  <c r="I243" i="6"/>
  <c r="L59" i="6"/>
  <c r="K61" i="6"/>
  <c r="K69" i="6"/>
  <c r="K87" i="6"/>
  <c r="K249" i="6"/>
  <c r="L67" i="6"/>
  <c r="L46" i="6"/>
  <c r="M45" i="6"/>
  <c r="M27" i="6"/>
  <c r="M84" i="6"/>
  <c r="M80" i="6"/>
  <c r="M39" i="6"/>
  <c r="M59" i="6"/>
  <c r="N20" i="6"/>
  <c r="M26" i="6"/>
  <c r="M22" i="6"/>
  <c r="N44" i="6"/>
  <c r="K248" i="6"/>
  <c r="AA11" i="21"/>
  <c r="AA12" i="21"/>
  <c r="N13" i="6"/>
  <c r="O12" i="6"/>
  <c r="O13" i="6"/>
  <c r="L60" i="6"/>
  <c r="L51" i="6"/>
  <c r="L50" i="6"/>
  <c r="N64" i="6"/>
  <c r="M67" i="6"/>
  <c r="L83" i="6"/>
  <c r="L85" i="6"/>
  <c r="L28" i="6"/>
  <c r="O66" i="6"/>
  <c r="M50" i="6"/>
  <c r="N65" i="6"/>
  <c r="K52" i="6"/>
  <c r="K54" i="6"/>
  <c r="K260" i="6"/>
  <c r="K157" i="6"/>
  <c r="L61" i="6"/>
  <c r="L69" i="6"/>
  <c r="L87" i="6"/>
  <c r="K165" i="6"/>
  <c r="Y19" i="21"/>
  <c r="Y20" i="21"/>
  <c r="L205" i="6"/>
  <c r="H197" i="6"/>
  <c r="H78" i="6"/>
  <c r="H37" i="6"/>
  <c r="X8" i="21"/>
  <c r="H8" i="21"/>
  <c r="H26" i="21"/>
  <c r="H44" i="21"/>
  <c r="H119" i="6"/>
  <c r="H153" i="6"/>
  <c r="H243" i="6"/>
  <c r="I245" i="6"/>
  <c r="Z18" i="21"/>
  <c r="J110" i="6"/>
  <c r="M153" i="6"/>
  <c r="M197" i="6"/>
  <c r="AC8" i="21"/>
  <c r="M8" i="21"/>
  <c r="M26" i="21"/>
  <c r="M44" i="21"/>
  <c r="M243" i="6"/>
  <c r="M245" i="6"/>
  <c r="M37" i="6"/>
  <c r="M220" i="6"/>
  <c r="M277" i="6"/>
  <c r="M78" i="6"/>
  <c r="M119" i="6"/>
  <c r="M324" i="6"/>
  <c r="N7" i="6"/>
  <c r="K6" i="7"/>
  <c r="M49" i="6"/>
  <c r="N182" i="6"/>
  <c r="O327" i="6"/>
  <c r="O329" i="6"/>
  <c r="O182" i="6"/>
  <c r="J245" i="6"/>
  <c r="O307" i="6"/>
  <c r="O309" i="6"/>
  <c r="O177" i="6"/>
  <c r="N177" i="6"/>
  <c r="E206" i="6"/>
  <c r="L206" i="6"/>
  <c r="D207" i="6"/>
  <c r="K89" i="6"/>
  <c r="K92" i="6"/>
  <c r="AA14" i="21"/>
  <c r="N45" i="6"/>
  <c r="M46" i="6"/>
  <c r="L52" i="6"/>
  <c r="L54" i="6"/>
  <c r="L249" i="6"/>
  <c r="L89" i="6"/>
  <c r="O65" i="6"/>
  <c r="O64" i="6"/>
  <c r="N67" i="6"/>
  <c r="K263" i="6"/>
  <c r="K160" i="6"/>
  <c r="K262" i="6"/>
  <c r="K159" i="6"/>
  <c r="K265" i="6"/>
  <c r="K173" i="6"/>
  <c r="K264" i="6"/>
  <c r="K172" i="6"/>
  <c r="K261" i="6"/>
  <c r="K158" i="6"/>
  <c r="AB11" i="21"/>
  <c r="AB12" i="21"/>
  <c r="L248" i="6"/>
  <c r="L260" i="6"/>
  <c r="L92" i="6"/>
  <c r="M60" i="6"/>
  <c r="M61" i="6"/>
  <c r="M69" i="6"/>
  <c r="M87" i="6"/>
  <c r="M51" i="6"/>
  <c r="O44" i="6"/>
  <c r="M28" i="6"/>
  <c r="M83" i="6"/>
  <c r="M85" i="6"/>
  <c r="O20" i="6"/>
  <c r="N80" i="6"/>
  <c r="N22" i="6"/>
  <c r="N27" i="6"/>
  <c r="N84" i="6"/>
  <c r="N39" i="6"/>
  <c r="N26" i="6"/>
  <c r="O312" i="6"/>
  <c r="E207" i="6"/>
  <c r="M207" i="6"/>
  <c r="D208" i="6"/>
  <c r="O7" i="6"/>
  <c r="E12" i="2"/>
  <c r="Z19" i="21"/>
  <c r="Z20" i="21"/>
  <c r="N78" i="6"/>
  <c r="AD8" i="21"/>
  <c r="N8" i="21"/>
  <c r="N26" i="21"/>
  <c r="N44" i="21"/>
  <c r="N197" i="6"/>
  <c r="N119" i="6"/>
  <c r="N153" i="6"/>
  <c r="N37" i="6"/>
  <c r="N324" i="6"/>
  <c r="N220" i="6"/>
  <c r="N243" i="6"/>
  <c r="N245" i="6"/>
  <c r="N277" i="6"/>
  <c r="I257" i="6"/>
  <c r="I256" i="6"/>
  <c r="I253" i="6"/>
  <c r="I255" i="6"/>
  <c r="I254" i="6"/>
  <c r="I252" i="6"/>
  <c r="K108" i="6"/>
  <c r="M205" i="6"/>
  <c r="M206" i="6"/>
  <c r="L211" i="6"/>
  <c r="L94" i="6"/>
  <c r="L122" i="6"/>
  <c r="L163" i="6"/>
  <c r="M52" i="6"/>
  <c r="M54" i="6"/>
  <c r="J252" i="6"/>
  <c r="J253" i="6"/>
  <c r="J257" i="6"/>
  <c r="J256" i="6"/>
  <c r="J255" i="6"/>
  <c r="J254" i="6"/>
  <c r="K95" i="6"/>
  <c r="K109" i="6"/>
  <c r="O45" i="6"/>
  <c r="O46" i="6"/>
  <c r="N46" i="6"/>
  <c r="M89" i="6"/>
  <c r="M92" i="6"/>
  <c r="M249" i="6"/>
  <c r="N51" i="6"/>
  <c r="N60" i="6"/>
  <c r="O22" i="6"/>
  <c r="O80" i="6"/>
  <c r="O39" i="6"/>
  <c r="O49" i="6"/>
  <c r="O27" i="6"/>
  <c r="O84" i="6"/>
  <c r="O26" i="6"/>
  <c r="AA16" i="21"/>
  <c r="AA15" i="21"/>
  <c r="N59" i="6"/>
  <c r="N61" i="6"/>
  <c r="N69" i="6"/>
  <c r="N87" i="6"/>
  <c r="AB14" i="21"/>
  <c r="L108" i="6"/>
  <c r="O67" i="6"/>
  <c r="L262" i="6"/>
  <c r="L159" i="6"/>
  <c r="L263" i="6"/>
  <c r="L160" i="6"/>
  <c r="L265" i="6"/>
  <c r="L173" i="6"/>
  <c r="L264" i="6"/>
  <c r="L172" i="6"/>
  <c r="L261" i="6"/>
  <c r="L158" i="6"/>
  <c r="M248" i="6"/>
  <c r="M260" i="6"/>
  <c r="AC11" i="21"/>
  <c r="AC12" i="21"/>
  <c r="L157" i="6"/>
  <c r="K266" i="6"/>
  <c r="N50" i="6"/>
  <c r="N49" i="6"/>
  <c r="N28" i="6"/>
  <c r="N83" i="6"/>
  <c r="N85" i="6"/>
  <c r="L95" i="6"/>
  <c r="L109" i="6"/>
  <c r="O119" i="6"/>
  <c r="O324" i="6"/>
  <c r="O153" i="6"/>
  <c r="O277" i="6"/>
  <c r="O197" i="6"/>
  <c r="O220" i="6"/>
  <c r="O78" i="6"/>
  <c r="O37" i="6"/>
  <c r="AE8" i="21"/>
  <c r="O8" i="21"/>
  <c r="O26" i="21"/>
  <c r="O44" i="21"/>
  <c r="O243" i="6"/>
  <c r="O245" i="6"/>
  <c r="M211" i="6"/>
  <c r="M94" i="6"/>
  <c r="M122" i="6"/>
  <c r="M163" i="6"/>
  <c r="E208" i="6"/>
  <c r="N208" i="6"/>
  <c r="D209" i="6"/>
  <c r="E209" i="6"/>
  <c r="L165" i="6"/>
  <c r="N207" i="6"/>
  <c r="N205" i="6"/>
  <c r="N206" i="6"/>
  <c r="O50" i="6"/>
  <c r="AC14" i="21"/>
  <c r="M108" i="6"/>
  <c r="AB15" i="21"/>
  <c r="AB16" i="21"/>
  <c r="O83" i="6"/>
  <c r="O85" i="6"/>
  <c r="O28" i="6"/>
  <c r="K268" i="6"/>
  <c r="K124" i="6"/>
  <c r="AD11" i="21"/>
  <c r="AD12" i="21"/>
  <c r="N248" i="6"/>
  <c r="N260" i="6"/>
  <c r="N249" i="6"/>
  <c r="N89" i="6"/>
  <c r="N92" i="6"/>
  <c r="L266" i="6"/>
  <c r="L268" i="6"/>
  <c r="L124" i="6"/>
  <c r="M157" i="6"/>
  <c r="O60" i="6"/>
  <c r="O51" i="6"/>
  <c r="O52" i="6"/>
  <c r="O54" i="6"/>
  <c r="O59" i="6"/>
  <c r="N52" i="6"/>
  <c r="N54" i="6"/>
  <c r="M262" i="6"/>
  <c r="M159" i="6"/>
  <c r="M264" i="6"/>
  <c r="M172" i="6"/>
  <c r="M263" i="6"/>
  <c r="M160" i="6"/>
  <c r="M261" i="6"/>
  <c r="M158" i="6"/>
  <c r="M265" i="6"/>
  <c r="M173" i="6"/>
  <c r="M95" i="6"/>
  <c r="M109" i="6"/>
  <c r="O205" i="6"/>
  <c r="O208" i="6"/>
  <c r="O209" i="6"/>
  <c r="O206" i="6"/>
  <c r="O207" i="6"/>
  <c r="M165" i="6"/>
  <c r="N211" i="6"/>
  <c r="N94" i="6"/>
  <c r="N122" i="6"/>
  <c r="N163" i="6"/>
  <c r="N108" i="6"/>
  <c r="AD14" i="21"/>
  <c r="O248" i="6"/>
  <c r="O260" i="6"/>
  <c r="AE11" i="21"/>
  <c r="AE12" i="21"/>
  <c r="N264" i="6"/>
  <c r="N172" i="6"/>
  <c r="N265" i="6"/>
  <c r="N173" i="6"/>
  <c r="N261" i="6"/>
  <c r="N158" i="6"/>
  <c r="N263" i="6"/>
  <c r="N160" i="6"/>
  <c r="N262" i="6"/>
  <c r="N159" i="6"/>
  <c r="O61" i="6"/>
  <c r="O69" i="6"/>
  <c r="O87" i="6"/>
  <c r="M266" i="6"/>
  <c r="M268" i="6"/>
  <c r="M124" i="6"/>
  <c r="N157" i="6"/>
  <c r="AC16" i="21"/>
  <c r="AC15" i="21"/>
  <c r="O211" i="6"/>
  <c r="O94" i="6"/>
  <c r="O122" i="6"/>
  <c r="O163" i="6"/>
  <c r="O165" i="6"/>
  <c r="N165" i="6"/>
  <c r="N95" i="6"/>
  <c r="N109" i="6"/>
  <c r="N266" i="6"/>
  <c r="N268" i="6"/>
  <c r="N124" i="6"/>
  <c r="O249" i="6"/>
  <c r="O89" i="6"/>
  <c r="O92" i="6"/>
  <c r="O157" i="6"/>
  <c r="AD16" i="21"/>
  <c r="AD15" i="21"/>
  <c r="AE14" i="21"/>
  <c r="O108" i="6"/>
  <c r="O95" i="6"/>
  <c r="O262" i="6"/>
  <c r="O159" i="6"/>
  <c r="O263" i="6"/>
  <c r="O160" i="6"/>
  <c r="O265" i="6"/>
  <c r="O173" i="6"/>
  <c r="O261" i="6"/>
  <c r="O264" i="6"/>
  <c r="O172" i="6"/>
  <c r="AE16" i="21"/>
  <c r="AE15" i="21"/>
  <c r="O158" i="6"/>
  <c r="O266" i="6"/>
  <c r="O268" i="6"/>
  <c r="O124" i="6"/>
  <c r="O109" i="6"/>
  <c r="K97" i="6"/>
  <c r="L97" i="6"/>
  <c r="M97" i="6"/>
  <c r="N97" i="6"/>
  <c r="O97" i="6"/>
  <c r="K98" i="6"/>
  <c r="L98" i="6"/>
  <c r="M98" i="6"/>
  <c r="N98" i="6"/>
  <c r="O98" i="6"/>
  <c r="K100" i="6"/>
  <c r="L100" i="6"/>
  <c r="M100" i="6"/>
  <c r="N100" i="6"/>
  <c r="O100" i="6"/>
  <c r="K101" i="6"/>
  <c r="L101" i="6"/>
  <c r="M101" i="6"/>
  <c r="N101" i="6"/>
  <c r="O101" i="6"/>
  <c r="K102" i="6"/>
  <c r="L102" i="6"/>
  <c r="M102" i="6"/>
  <c r="N102" i="6"/>
  <c r="O102" i="6"/>
  <c r="K104" i="6"/>
  <c r="L104" i="6"/>
  <c r="M104" i="6"/>
  <c r="N104" i="6"/>
  <c r="O104" i="6"/>
  <c r="K110" i="6"/>
  <c r="L110" i="6"/>
  <c r="M110" i="6"/>
  <c r="N110" i="6"/>
  <c r="O110" i="6"/>
  <c r="K121" i="6"/>
  <c r="L121" i="6"/>
  <c r="M121" i="6"/>
  <c r="N121" i="6"/>
  <c r="O121" i="6"/>
  <c r="K123" i="6"/>
  <c r="L123" i="6"/>
  <c r="M123" i="6"/>
  <c r="N123" i="6"/>
  <c r="O123" i="6"/>
  <c r="K125" i="6"/>
  <c r="L125" i="6"/>
  <c r="M125" i="6"/>
  <c r="N125" i="6"/>
  <c r="O125" i="6"/>
  <c r="K135" i="6"/>
  <c r="L135" i="6"/>
  <c r="M135" i="6"/>
  <c r="N135" i="6"/>
  <c r="O135" i="6"/>
  <c r="K138" i="6"/>
  <c r="L138" i="6"/>
  <c r="M138" i="6"/>
  <c r="N138" i="6"/>
  <c r="O138" i="6"/>
  <c r="K139" i="6"/>
  <c r="L139" i="6"/>
  <c r="M139" i="6"/>
  <c r="N139" i="6"/>
  <c r="O139" i="6"/>
  <c r="K142" i="6"/>
  <c r="L142" i="6"/>
  <c r="M142" i="6"/>
  <c r="N142" i="6"/>
  <c r="O142" i="6"/>
  <c r="L143" i="6"/>
  <c r="M143" i="6"/>
  <c r="N143" i="6"/>
  <c r="O143" i="6"/>
  <c r="K144" i="6"/>
  <c r="L144" i="6"/>
  <c r="M144" i="6"/>
  <c r="N144" i="6"/>
  <c r="O144" i="6"/>
  <c r="K156" i="6"/>
  <c r="L156" i="6"/>
  <c r="M156" i="6"/>
  <c r="N156" i="6"/>
  <c r="O156" i="6"/>
  <c r="K161" i="6"/>
  <c r="L161" i="6"/>
  <c r="M161" i="6"/>
  <c r="N161" i="6"/>
  <c r="O161" i="6"/>
  <c r="K167" i="6"/>
  <c r="L167" i="6"/>
  <c r="M167" i="6"/>
  <c r="N167" i="6"/>
  <c r="O167" i="6"/>
  <c r="K171" i="6"/>
  <c r="L171" i="6"/>
  <c r="M171" i="6"/>
  <c r="N171" i="6"/>
  <c r="O171" i="6"/>
  <c r="K174" i="6"/>
  <c r="L174" i="6"/>
  <c r="M174" i="6"/>
  <c r="N174" i="6"/>
  <c r="O174" i="6"/>
  <c r="K176" i="6"/>
  <c r="L176" i="6"/>
  <c r="M176" i="6"/>
  <c r="N176" i="6"/>
  <c r="O176" i="6"/>
  <c r="K178" i="6"/>
  <c r="L178" i="6"/>
  <c r="M178" i="6"/>
  <c r="N178" i="6"/>
  <c r="O178" i="6"/>
  <c r="K180" i="6"/>
  <c r="L180" i="6"/>
  <c r="M180" i="6"/>
  <c r="N180" i="6"/>
  <c r="O180" i="6"/>
  <c r="K183" i="6"/>
  <c r="L183" i="6"/>
  <c r="M183" i="6"/>
  <c r="N183" i="6"/>
  <c r="O183" i="6"/>
  <c r="K184" i="6"/>
  <c r="L184" i="6"/>
  <c r="M184" i="6"/>
  <c r="N184" i="6"/>
  <c r="O184" i="6"/>
  <c r="K186" i="6"/>
  <c r="L186" i="6"/>
  <c r="M186" i="6"/>
  <c r="N186" i="6"/>
  <c r="O186" i="6"/>
  <c r="K188" i="6"/>
  <c r="L188" i="6"/>
  <c r="M188" i="6"/>
  <c r="N188" i="6"/>
  <c r="O188" i="6"/>
  <c r="K222" i="6"/>
  <c r="L222" i="6"/>
  <c r="M222" i="6"/>
  <c r="N222" i="6"/>
  <c r="O222" i="6"/>
  <c r="K225" i="6"/>
  <c r="L225" i="6"/>
  <c r="M225" i="6"/>
  <c r="N225" i="6"/>
  <c r="O225" i="6"/>
  <c r="K227" i="6"/>
  <c r="L227" i="6"/>
  <c r="M227" i="6"/>
  <c r="N227" i="6"/>
  <c r="O227" i="6"/>
  <c r="K230" i="6"/>
  <c r="L230" i="6"/>
  <c r="M230" i="6"/>
  <c r="N230" i="6"/>
  <c r="O230" i="6"/>
  <c r="K231" i="6"/>
  <c r="L231" i="6"/>
  <c r="M231" i="6"/>
  <c r="N231" i="6"/>
  <c r="O231" i="6"/>
  <c r="K232" i="6"/>
  <c r="L232" i="6"/>
  <c r="M232" i="6"/>
  <c r="N232" i="6"/>
  <c r="O232" i="6"/>
  <c r="L282" i="6"/>
  <c r="M282" i="6"/>
  <c r="N282" i="6"/>
  <c r="O282" i="6"/>
  <c r="K283" i="6"/>
  <c r="L283" i="6"/>
  <c r="M283" i="6"/>
  <c r="N283" i="6"/>
  <c r="O283" i="6"/>
  <c r="K284" i="6"/>
  <c r="L284" i="6"/>
  <c r="M284" i="6"/>
  <c r="N284" i="6"/>
  <c r="O284" i="6"/>
  <c r="K287" i="6"/>
  <c r="L287" i="6"/>
  <c r="M287" i="6"/>
  <c r="N287" i="6"/>
  <c r="O287" i="6"/>
  <c r="K291" i="6"/>
  <c r="L291" i="6"/>
  <c r="M291" i="6"/>
  <c r="N291" i="6"/>
  <c r="O291" i="6"/>
  <c r="K295" i="6"/>
  <c r="L295" i="6"/>
  <c r="M295" i="6"/>
  <c r="N295" i="6"/>
  <c r="O295" i="6"/>
  <c r="K296" i="6"/>
  <c r="L296" i="6"/>
  <c r="M296" i="6"/>
  <c r="N296" i="6"/>
  <c r="O296" i="6"/>
  <c r="L298" i="6"/>
  <c r="M298" i="6"/>
  <c r="N298" i="6"/>
  <c r="O298" i="6"/>
  <c r="K299" i="6"/>
  <c r="L299" i="6"/>
  <c r="M299" i="6"/>
  <c r="N299" i="6"/>
  <c r="O299" i="6"/>
  <c r="K300" i="6"/>
  <c r="L300" i="6"/>
  <c r="M300" i="6"/>
  <c r="N300" i="6"/>
  <c r="O300" i="6"/>
  <c r="K303" i="6"/>
  <c r="L303" i="6"/>
  <c r="M303" i="6"/>
  <c r="N303" i="6"/>
  <c r="O303" i="6"/>
  <c r="K315" i="6"/>
  <c r="L315" i="6"/>
  <c r="M315" i="6"/>
  <c r="N315" i="6"/>
  <c r="O315" i="6"/>
  <c r="K332" i="6"/>
  <c r="L332" i="6"/>
  <c r="M332" i="6"/>
  <c r="N332" i="6"/>
  <c r="O332" i="6"/>
  <c r="K333" i="6"/>
  <c r="L333" i="6"/>
  <c r="M333" i="6"/>
  <c r="N333" i="6"/>
  <c r="O333" i="6"/>
  <c r="L337" i="6"/>
  <c r="M337" i="6"/>
  <c r="N337" i="6"/>
  <c r="O337" i="6"/>
  <c r="K338" i="6"/>
  <c r="L338" i="6"/>
  <c r="M338" i="6"/>
  <c r="N338" i="6"/>
  <c r="O338" i="6"/>
  <c r="K339" i="6"/>
  <c r="L339" i="6"/>
  <c r="M339" i="6"/>
  <c r="N339" i="6"/>
  <c r="O339" i="6"/>
  <c r="K340" i="6"/>
  <c r="L340" i="6"/>
  <c r="M340" i="6"/>
  <c r="N340" i="6"/>
  <c r="O340" i="6"/>
  <c r="AA18" i="21"/>
  <c r="AB18" i="21"/>
  <c r="AC18" i="21"/>
  <c r="AD18" i="21"/>
  <c r="AE18" i="21"/>
  <c r="AA19" i="21"/>
  <c r="AB19" i="21"/>
  <c r="AC19" i="21"/>
  <c r="AD19" i="21"/>
  <c r="AE19" i="21"/>
  <c r="AA20" i="21"/>
  <c r="AB20" i="21"/>
  <c r="AC20" i="21"/>
  <c r="AD20" i="21"/>
  <c r="AE20" i="21"/>
</calcChain>
</file>

<file path=xl/sharedStrings.xml><?xml version="1.0" encoding="utf-8"?>
<sst xmlns="http://schemas.openxmlformats.org/spreadsheetml/2006/main" count="418" uniqueCount="202">
  <si>
    <t>Pricing Case</t>
  </si>
  <si>
    <t>Pricing</t>
  </si>
  <si>
    <t>Projected</t>
  </si>
  <si>
    <t>Net Revenue</t>
  </si>
  <si>
    <t>Cost of Sales</t>
  </si>
  <si>
    <t>EBITDA</t>
  </si>
  <si>
    <t>Depreciation &amp; Amortization</t>
  </si>
  <si>
    <t>EBIT</t>
  </si>
  <si>
    <t>Net Income</t>
  </si>
  <si>
    <t>Operating Activities</t>
  </si>
  <si>
    <t>Other</t>
  </si>
  <si>
    <t>Operating Cash Flow</t>
  </si>
  <si>
    <t>ASSETS</t>
  </si>
  <si>
    <t>Cash</t>
  </si>
  <si>
    <t>Accounts Receivable</t>
  </si>
  <si>
    <t>Inventory</t>
  </si>
  <si>
    <t>Total Current Assets</t>
  </si>
  <si>
    <t>Net PP&amp;E</t>
  </si>
  <si>
    <t>Total Assets</t>
  </si>
  <si>
    <t>LIABILITIES AND EQUITY</t>
  </si>
  <si>
    <t>Accounts Payable</t>
  </si>
  <si>
    <t>Total Current Liabilities</t>
  </si>
  <si>
    <t>Total Long Term Liabilities</t>
  </si>
  <si>
    <t>Total Liabilities</t>
  </si>
  <si>
    <t>Shareholder's Equity</t>
  </si>
  <si>
    <t>Total Liabilities and Equity</t>
  </si>
  <si>
    <t>Check</t>
  </si>
  <si>
    <t>Days In</t>
  </si>
  <si>
    <t>Inventories</t>
  </si>
  <si>
    <t>Account Balances</t>
  </si>
  <si>
    <t>Net Working Capital</t>
  </si>
  <si>
    <t>A</t>
  </si>
  <si>
    <t>B</t>
  </si>
  <si>
    <t>Variable Costs</t>
  </si>
  <si>
    <t>Total Variable Costs</t>
  </si>
  <si>
    <t>Fixed Costs</t>
  </si>
  <si>
    <t>S,G &amp; A</t>
  </si>
  <si>
    <t>Income Statement</t>
  </si>
  <si>
    <t>Margins</t>
  </si>
  <si>
    <t>EBITDA Margin</t>
  </si>
  <si>
    <t>EBIT Margin</t>
  </si>
  <si>
    <t>Depreciation to Existing Assets</t>
  </si>
  <si>
    <t>Total Depreciation</t>
  </si>
  <si>
    <t>Revenue</t>
  </si>
  <si>
    <t>Gross Revenue</t>
  </si>
  <si>
    <t>Total Costs</t>
  </si>
  <si>
    <t>Depreciation</t>
  </si>
  <si>
    <t>Cash Flow Statement</t>
  </si>
  <si>
    <t>Costs of Production</t>
  </si>
  <si>
    <t>Income Tax Schedule</t>
  </si>
  <si>
    <t>Working Capital Schedule</t>
  </si>
  <si>
    <t>Total Fixed Costs</t>
  </si>
  <si>
    <t>Freight &amp; Warehousing</t>
  </si>
  <si>
    <t>Implied Operating Rate</t>
  </si>
  <si>
    <t>Operating Labour</t>
  </si>
  <si>
    <t>CAPEX</t>
  </si>
  <si>
    <t>Change in the Cash Position</t>
  </si>
  <si>
    <t>Beginning Cash</t>
  </si>
  <si>
    <t>Ending Cash</t>
  </si>
  <si>
    <t>Economic and Pricing Scenarios</t>
  </si>
  <si>
    <t>Base Case</t>
  </si>
  <si>
    <t>Best Case</t>
  </si>
  <si>
    <t>Worst Case</t>
  </si>
  <si>
    <t>(days)</t>
  </si>
  <si>
    <t xml:space="preserve">Gross Sales Price </t>
  </si>
  <si>
    <t>Debt and Interest Schedule</t>
  </si>
  <si>
    <t>Net Sales Price</t>
  </si>
  <si>
    <t>Amount Outstanding - Beginning</t>
  </si>
  <si>
    <t>Additions / (Repayments)</t>
  </si>
  <si>
    <t>Amount Outstanding - Ending</t>
  </si>
  <si>
    <t>Interest Rate</t>
  </si>
  <si>
    <t>Annual Interest Expense</t>
  </si>
  <si>
    <t>Annual Interest Income</t>
  </si>
  <si>
    <t>Change in Cash</t>
  </si>
  <si>
    <t>Financing Activities</t>
  </si>
  <si>
    <t>Interest Expense</t>
  </si>
  <si>
    <t>Net Interest Expense</t>
  </si>
  <si>
    <t>EBT</t>
  </si>
  <si>
    <t>(000's units)</t>
  </si>
  <si>
    <t>COSTS PER UNIT</t>
  </si>
  <si>
    <t>The product pricing cases used in the model are as follows:</t>
  </si>
  <si>
    <t>-</t>
  </si>
  <si>
    <t>- Tax rate assumed in the model:</t>
  </si>
  <si>
    <t>GENERAL</t>
  </si>
  <si>
    <t>PRODUCT PRICING</t>
  </si>
  <si>
    <t>OPERATIONS</t>
  </si>
  <si>
    <t>TAXES</t>
  </si>
  <si>
    <t>COSTS</t>
  </si>
  <si>
    <t>Cost Item</t>
  </si>
  <si>
    <t>Raw Materials</t>
  </si>
  <si>
    <t>Increases</t>
  </si>
  <si>
    <t>Inflation on a unit basis</t>
  </si>
  <si>
    <t>SG&amp;A</t>
  </si>
  <si>
    <t>Inflation on a total $ basis</t>
  </si>
  <si>
    <t>DEPRECIATION</t>
  </si>
  <si>
    <t>Straight Line</t>
  </si>
  <si>
    <t>ECONOMIC SCENARIOS</t>
  </si>
  <si>
    <t>Current Income Taxes</t>
  </si>
  <si>
    <t>Total Income Taxes</t>
  </si>
  <si>
    <t>Tax Rate</t>
  </si>
  <si>
    <t>Taxes as Appearing on Income Statement</t>
  </si>
  <si>
    <t>Total Income Taxes (Same as Accounting Taxes Above)</t>
  </si>
  <si>
    <t>Cost Inflation</t>
  </si>
  <si>
    <t>SCENARIO SWITCH:</t>
  </si>
  <si>
    <t>Revenue Schedule</t>
  </si>
  <si>
    <t>Capital Expenditures</t>
  </si>
  <si>
    <t>INTEREST RATES AND DEBT COVENANTS</t>
  </si>
  <si>
    <t>Investing Activities</t>
  </si>
  <si>
    <t>Investing Cash Flow</t>
  </si>
  <si>
    <t>Financing Cash Flow</t>
  </si>
  <si>
    <t>Balance Sheet</t>
  </si>
  <si>
    <t>Days per Year</t>
  </si>
  <si>
    <t>Inputs and Assumptions</t>
  </si>
  <si>
    <t>SALES SCENARIOS</t>
  </si>
  <si>
    <t>Sales Volume Growth</t>
  </si>
  <si>
    <t>(%)</t>
  </si>
  <si>
    <t>Sales Volume</t>
  </si>
  <si>
    <t>Annual Sales Volume</t>
  </si>
  <si>
    <t>Change in Working Capital</t>
  </si>
  <si>
    <t>Shareholders' Equity Schedule</t>
  </si>
  <si>
    <t>Common Shares</t>
  </si>
  <si>
    <t>Dividend Payout Rate</t>
  </si>
  <si>
    <t>Common Dividend</t>
  </si>
  <si>
    <t>Retained Earnings</t>
  </si>
  <si>
    <t>EQUITY</t>
  </si>
  <si>
    <t>Common Dividend Payout Rate</t>
  </si>
  <si>
    <t>Common Stock Issuance / (Buy-back)</t>
  </si>
  <si>
    <t>Common Shares Issuance/ (Buy-Back)</t>
  </si>
  <si>
    <t>Common Dividends</t>
  </si>
  <si>
    <t>New Issuance / (Buy-Back)</t>
  </si>
  <si>
    <t>Return on Equity</t>
  </si>
  <si>
    <t>Changes in working capital</t>
  </si>
  <si>
    <t>Dividends</t>
  </si>
  <si>
    <t>FINANCING COMPONENT</t>
  </si>
  <si>
    <t>and sales volume growth</t>
  </si>
  <si>
    <t>Revolver</t>
  </si>
  <si>
    <t>Senior Secured Term Debt</t>
  </si>
  <si>
    <t>Revolver Issuance / (Repayment)</t>
  </si>
  <si>
    <t>Term Debt Issuance / (Repayment)</t>
  </si>
  <si>
    <t>Interest rate earned on cash balances:</t>
  </si>
  <si>
    <t>Interest rate on the Bank Revolver:</t>
  </si>
  <si>
    <t>Interest rate on the Senior Secured Term Debt:</t>
  </si>
  <si>
    <t>Sr. Term Debt Issuance / (Repayment)</t>
  </si>
  <si>
    <t>Bank Debt - Revolver</t>
  </si>
  <si>
    <t>Depreciation Schedule</t>
  </si>
  <si>
    <t>FCF After Mandatory Debt Repayment and Dividend</t>
  </si>
  <si>
    <t>Mandatory Debt Repayments</t>
  </si>
  <si>
    <t>Revolver Outstanding - Beginning</t>
  </si>
  <si>
    <t>Revolver Outstanding - Ending</t>
  </si>
  <si>
    <t>Research Forecast</t>
  </si>
  <si>
    <t xml:space="preserve"> </t>
  </si>
  <si>
    <t>Interest Rates</t>
  </si>
  <si>
    <t>Years Remaining on Existing Assets:</t>
  </si>
  <si>
    <t>Depreciation Years on New Assets:</t>
  </si>
  <si>
    <t>Income Statement Items</t>
  </si>
  <si>
    <t>First year of forecast in financial model:</t>
  </si>
  <si>
    <t>per Unit</t>
  </si>
  <si>
    <t>MM</t>
  </si>
  <si>
    <t>Deferred Income Taxes</t>
  </si>
  <si>
    <t>Increase (Decrease) in Deferred Income Taxes</t>
  </si>
  <si>
    <t>SUMMARY VALUES - BASE CASE</t>
  </si>
  <si>
    <t xml:space="preserve">   Growth</t>
  </si>
  <si>
    <t xml:space="preserve">   Margin</t>
  </si>
  <si>
    <t>SUMMARY VALUES - WORST CASE</t>
  </si>
  <si>
    <t>Utilities</t>
  </si>
  <si>
    <t>Rent</t>
  </si>
  <si>
    <t>Depreciation Methodology Used:</t>
  </si>
  <si>
    <t>Years remaining for depreciation of existing assets:</t>
  </si>
  <si>
    <t>Years used for depreciation of new assets:</t>
  </si>
  <si>
    <t>OTHER ASSUMPTIONS</t>
  </si>
  <si>
    <t>Working Capital Days</t>
  </si>
  <si>
    <t>days</t>
  </si>
  <si>
    <t>Change in Debt &amp; Equity</t>
  </si>
  <si>
    <t>- Annual Factory Capacity (000's units):</t>
  </si>
  <si>
    <t>Annual Factory Capacity</t>
  </si>
  <si>
    <t>Cost Adjustments - Gain/(Loss)</t>
  </si>
  <si>
    <t>Investing Activities - Other</t>
  </si>
  <si>
    <t>Prepaid Expenses</t>
  </si>
  <si>
    <t>Other Assets</t>
  </si>
  <si>
    <t>Other Liabilities</t>
  </si>
  <si>
    <t>Three scenarios have been used for Inflation, Product Pricing</t>
  </si>
  <si>
    <t>(MM)</t>
  </si>
  <si>
    <t>Sales Price - $/Unit</t>
  </si>
  <si>
    <t>($/unit)</t>
  </si>
  <si>
    <t>($ MM)</t>
  </si>
  <si>
    <t>($ Millions)</t>
  </si>
  <si>
    <t>Income Tax</t>
  </si>
  <si>
    <t xml:space="preserve">Accounting EBT (as is on I/S)   </t>
  </si>
  <si>
    <t>Government EBT</t>
  </si>
  <si>
    <t>(1) Assumes aggregate reduction in government pre-tax earnings due to timing differences between accounting and government rules.</t>
  </si>
  <si>
    <t>- Additional tax assumptions in "Other Assumptions" box</t>
  </si>
  <si>
    <t>Reduction in EBT for timing differences</t>
  </si>
  <si>
    <t>Henderson Manufacturing</t>
  </si>
  <si>
    <t>Total Long Term Assets</t>
  </si>
  <si>
    <t>Summary Outputs</t>
  </si>
  <si>
    <t>FINANCIAL MODELING INSTITUTE</t>
  </si>
  <si>
    <t>LEVEL 1: ADVANCED FINANCIAL MODELER (AFM)</t>
  </si>
  <si>
    <t xml:space="preserve">This model is designed to given an indication of what a successful candidate may produce during the 4-hour AFM exam. </t>
  </si>
  <si>
    <t>SUMMARY VALUES - BEST CASE</t>
  </si>
  <si>
    <t>Sample Exam Solution - Vertical Orientation</t>
  </si>
  <si>
    <t>COSTS IN MILLIONS</t>
  </si>
  <si>
    <r>
      <t xml:space="preserve">Less: Reduction in EBT for timing differences </t>
    </r>
    <r>
      <rPr>
        <vertAlign val="superscript"/>
        <sz val="10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</si>
</sst>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,##0.0_);\(#,##0.0\)"/>
    <numFmt numFmtId="168" formatCode="&quot;$&quot;#,##0.0_);\(&quot;$&quot;#,##0.0\)"/>
    <numFmt numFmtId="169" formatCode="#,##0.000_);\(#,##0.000\)"/>
    <numFmt numFmtId="170" formatCode="0.0_);\(0.0\)"/>
    <numFmt numFmtId="171" formatCode="0.00_);\(0.00\)"/>
    <numFmt numFmtId="172" formatCode="0.000_);\(0.000\)"/>
    <numFmt numFmtId="173" formatCode="0\A"/>
    <numFmt numFmtId="174" formatCode="&quot;- EBITDA margin of &quot;0.0%"/>
    <numFmt numFmtId="175" formatCode="&quot;- Opening UCC pool of &quot;&quot;$&quot;#,###.0&quot; million as of January 1, 1999&quot;"/>
    <numFmt numFmtId="176" formatCode="0%;\(0%\)"/>
    <numFmt numFmtId="177" formatCode="0.00\ "/>
    <numFmt numFmtId="178" formatCode="_-* #,##0_-;\-* #,##0_-;_-* &quot;-&quot;??_-;_-@_-"/>
    <numFmt numFmtId="179" formatCode="0_);\(0\)"/>
    <numFmt numFmtId="180" formatCode="0.0%\ ;\(0.0%\)"/>
    <numFmt numFmtId="181" formatCode="mmmm\ d\,\ yyyy"/>
    <numFmt numFmtId="182" formatCode="\+0%;\(0%\)"/>
    <numFmt numFmtId="183" formatCode="&quot;$&quot;#,##0.0"/>
    <numFmt numFmtId="184" formatCode="0\ &quot;years&quot;"/>
    <numFmt numFmtId="185" formatCode="0.0\ \x"/>
    <numFmt numFmtId="186" formatCode="#,##0.0000_);\(#,##0.0000\)"/>
    <numFmt numFmtId="187" formatCode="&quot;$&quot;#,##0.000_);\(&quot;$&quot;#,##0.000\)"/>
    <numFmt numFmtId="188" formatCode="0\F"/>
    <numFmt numFmtId="189" formatCode="&quot;$&quot;#,##0.0000_);\(&quot;$&quot;#,##0.0000\)"/>
    <numFmt numFmtId="190" formatCode="&quot;$&quot;#,##0.000000_);\(&quot;$&quot;#,##0.000000\)"/>
    <numFmt numFmtId="191" formatCode="0.0%;\(0.0%\)"/>
    <numFmt numFmtId="192" formatCode="[&gt;-0.000001]\ 0.0_);\ \(0.0\)_)"/>
  </numFmts>
  <fonts count="72">
    <font>
      <sz val="10"/>
      <name val="Arial"/>
      <family val="2"/>
    </font>
    <font>
      <sz val="10"/>
      <name val="Book Antiqua"/>
      <family val="1"/>
    </font>
    <font>
      <sz val="10"/>
      <name val="Aldine401 BT"/>
    </font>
    <font>
      <sz val="10"/>
      <name val="Arial"/>
      <family val="2"/>
    </font>
    <font>
      <sz val="11"/>
      <color indexed="12"/>
      <name val="Book Antiqua"/>
      <family val="1"/>
    </font>
    <font>
      <sz val="8"/>
      <name val="Arial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indexed="12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8"/>
      <color indexed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12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14"/>
      <color indexed="10"/>
      <name val="Calibri"/>
      <family val="2"/>
      <scheme val="minor"/>
    </font>
    <font>
      <b/>
      <i/>
      <sz val="9"/>
      <color indexed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61"/>
      <name val="Calibri"/>
      <family val="2"/>
      <scheme val="minor"/>
    </font>
    <font>
      <i/>
      <sz val="10"/>
      <color indexed="12"/>
      <name val="Calibri"/>
      <family val="2"/>
      <scheme val="minor"/>
    </font>
    <font>
      <i/>
      <sz val="10"/>
      <color indexed="6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993366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7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indexed="61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1" fillId="0" borderId="0" applyNumberFormat="0" applyFont="0" applyFill="0" applyBorder="0" applyProtection="0">
      <alignment horizontal="centerContinuous"/>
    </xf>
    <xf numFmtId="0" fontId="1" fillId="0" borderId="1" applyNumberFormat="0" applyFont="0" applyFill="0" applyAlignment="0" applyProtection="0"/>
    <xf numFmtId="0" fontId="1" fillId="0" borderId="0" applyNumberFormat="0" applyFont="0" applyFill="0" applyBorder="0" applyProtection="0">
      <alignment horizontal="center"/>
    </xf>
    <xf numFmtId="43" fontId="2" fillId="0" borderId="0" applyFont="0" applyFill="0" applyBorder="0" applyAlignment="0" applyProtection="0"/>
    <xf numFmtId="8" fontId="4" fillId="0" borderId="2">
      <protection locked="0"/>
    </xf>
    <xf numFmtId="0" fontId="1" fillId="0" borderId="3" applyNumberFormat="0" applyFont="0" applyFill="0" applyAlignment="0" applyProtection="0"/>
    <xf numFmtId="0" fontId="3" fillId="0" borderId="0"/>
    <xf numFmtId="0" fontId="3" fillId="0" borderId="0"/>
    <xf numFmtId="0" fontId="6" fillId="0" borderId="0"/>
    <xf numFmtId="0" fontId="5" fillId="0" borderId="0" applyNumberFormat="0" applyFill="0" applyBorder="0" applyAlignment="0" applyProtection="0"/>
    <xf numFmtId="178" fontId="2" fillId="0" borderId="0" applyNumberFormat="0" applyFill="0" applyBorder="0" applyAlignment="0" applyProtection="0"/>
    <xf numFmtId="0" fontId="1" fillId="0" borderId="4" applyNumberFormat="0" applyFont="0" applyFill="0" applyAlignment="0" applyProtection="0"/>
    <xf numFmtId="0" fontId="7" fillId="0" borderId="0"/>
  </cellStyleXfs>
  <cellXfs count="502">
    <xf numFmtId="0" fontId="0" fillId="0" borderId="0" xfId="0"/>
    <xf numFmtId="0" fontId="7" fillId="3" borderId="31" xfId="13" applyFill="1" applyBorder="1"/>
    <xf numFmtId="0" fontId="7" fillId="3" borderId="0" xfId="13" applyFill="1"/>
    <xf numFmtId="0" fontId="8" fillId="3" borderId="0" xfId="13" applyFont="1" applyFill="1"/>
    <xf numFmtId="0" fontId="9" fillId="3" borderId="0" xfId="13" applyFont="1" applyFill="1"/>
    <xf numFmtId="0" fontId="10" fillId="3" borderId="0" xfId="13" applyFont="1" applyFill="1"/>
    <xf numFmtId="181" fontId="11" fillId="3" borderId="0" xfId="8" applyNumberFormat="1" applyFont="1" applyFill="1" applyAlignment="1">
      <alignment horizontal="left" wrapText="1"/>
    </xf>
    <xf numFmtId="0" fontId="7" fillId="3" borderId="0" xfId="13" applyFill="1" applyAlignment="1">
      <alignment wrapText="1"/>
    </xf>
    <xf numFmtId="0" fontId="12" fillId="3" borderId="0" xfId="13" applyFont="1" applyFill="1"/>
    <xf numFmtId="0" fontId="13" fillId="3" borderId="0" xfId="13" applyFont="1" applyFill="1"/>
    <xf numFmtId="0" fontId="14" fillId="3" borderId="0" xfId="13" applyFont="1" applyFill="1"/>
    <xf numFmtId="0" fontId="7" fillId="3" borderId="12" xfId="13" applyFill="1" applyBorder="1"/>
    <xf numFmtId="0" fontId="15" fillId="0" borderId="0" xfId="7" applyFont="1" applyAlignment="1">
      <alignment horizontal="centerContinuous"/>
    </xf>
    <xf numFmtId="0" fontId="16" fillId="0" borderId="0" xfId="7" applyFont="1" applyAlignment="1">
      <alignment horizontal="centerContinuous"/>
    </xf>
    <xf numFmtId="0" fontId="17" fillId="0" borderId="0" xfId="7" applyFont="1" applyAlignment="1">
      <alignment horizontal="centerContinuous"/>
    </xf>
    <xf numFmtId="0" fontId="18" fillId="0" borderId="0" xfId="7" applyFont="1"/>
    <xf numFmtId="0" fontId="19" fillId="0" borderId="0" xfId="7" applyFont="1" applyAlignment="1">
      <alignment horizontal="centerContinuous"/>
    </xf>
    <xf numFmtId="0" fontId="18" fillId="0" borderId="12" xfId="7" applyFont="1" applyBorder="1"/>
    <xf numFmtId="0" fontId="20" fillId="0" borderId="0" xfId="7" applyFont="1" applyAlignment="1">
      <alignment horizontal="centerContinuous"/>
    </xf>
    <xf numFmtId="0" fontId="21" fillId="0" borderId="0" xfId="7" applyFont="1" applyAlignment="1">
      <alignment horizontal="centerContinuous"/>
    </xf>
    <xf numFmtId="0" fontId="22" fillId="0" borderId="0" xfId="7" applyFont="1" applyAlignment="1">
      <alignment horizontal="centerContinuous"/>
    </xf>
    <xf numFmtId="0" fontId="18" fillId="4" borderId="7" xfId="7" applyFont="1" applyFill="1" applyBorder="1"/>
    <xf numFmtId="0" fontId="18" fillId="4" borderId="8" xfId="7" applyFont="1" applyFill="1" applyBorder="1"/>
    <xf numFmtId="0" fontId="23" fillId="4" borderId="14" xfId="7" applyFont="1" applyFill="1" applyBorder="1" applyAlignment="1">
      <alignment horizontal="centerContinuous"/>
    </xf>
    <xf numFmtId="0" fontId="24" fillId="4" borderId="14" xfId="7" applyFont="1" applyFill="1" applyBorder="1" applyAlignment="1">
      <alignment horizontal="centerContinuous"/>
    </xf>
    <xf numFmtId="0" fontId="18" fillId="4" borderId="9" xfId="7" applyFont="1" applyFill="1" applyBorder="1"/>
    <xf numFmtId="0" fontId="18" fillId="0" borderId="7" xfId="7" applyFont="1" applyBorder="1"/>
    <xf numFmtId="0" fontId="18" fillId="0" borderId="8" xfId="7" applyFont="1" applyBorder="1"/>
    <xf numFmtId="0" fontId="23" fillId="0" borderId="14" xfId="7" applyFont="1" applyBorder="1" applyAlignment="1">
      <alignment horizontal="centerContinuous"/>
    </xf>
    <xf numFmtId="0" fontId="24" fillId="0" borderId="14" xfId="7" applyFont="1" applyBorder="1" applyAlignment="1">
      <alignment horizontal="centerContinuous"/>
    </xf>
    <xf numFmtId="0" fontId="18" fillId="0" borderId="9" xfId="7" applyFont="1" applyBorder="1"/>
    <xf numFmtId="0" fontId="18" fillId="4" borderId="10" xfId="7" applyFont="1" applyFill="1" applyBorder="1"/>
    <xf numFmtId="0" fontId="18" fillId="4" borderId="1" xfId="7" applyFont="1" applyFill="1" applyBorder="1"/>
    <xf numFmtId="173" fontId="21" fillId="4" borderId="1" xfId="0" applyNumberFormat="1" applyFont="1" applyFill="1" applyBorder="1"/>
    <xf numFmtId="0" fontId="21" fillId="4" borderId="1" xfId="0" applyFont="1" applyFill="1" applyBorder="1"/>
    <xf numFmtId="0" fontId="18" fillId="4" borderId="11" xfId="7" applyFont="1" applyFill="1" applyBorder="1"/>
    <xf numFmtId="0" fontId="18" fillId="0" borderId="5" xfId="7" applyFont="1" applyBorder="1"/>
    <xf numFmtId="0" fontId="18" fillId="0" borderId="1" xfId="7" applyFont="1" applyBorder="1"/>
    <xf numFmtId="173" fontId="21" fillId="0" borderId="1" xfId="0" applyNumberFormat="1" applyFont="1" applyBorder="1"/>
    <xf numFmtId="0" fontId="21" fillId="0" borderId="1" xfId="0" applyFont="1" applyBorder="1"/>
    <xf numFmtId="0" fontId="18" fillId="0" borderId="6" xfId="7" applyFont="1" applyBorder="1"/>
    <xf numFmtId="173" fontId="25" fillId="0" borderId="0" xfId="0" applyNumberFormat="1" applyFont="1"/>
    <xf numFmtId="188" fontId="25" fillId="0" borderId="0" xfId="0" quotePrefix="1" applyNumberFormat="1" applyFont="1" applyAlignment="1">
      <alignment horizontal="right"/>
    </xf>
    <xf numFmtId="0" fontId="25" fillId="0" borderId="0" xfId="0" applyFont="1"/>
    <xf numFmtId="0" fontId="25" fillId="0" borderId="6" xfId="0" applyFont="1" applyBorder="1"/>
    <xf numFmtId="0" fontId="21" fillId="0" borderId="0" xfId="7" applyFont="1"/>
    <xf numFmtId="0" fontId="26" fillId="0" borderId="0" xfId="7" applyFont="1"/>
    <xf numFmtId="5" fontId="27" fillId="0" borderId="0" xfId="4" applyNumberFormat="1" applyFont="1" applyFill="1" applyBorder="1"/>
    <xf numFmtId="5" fontId="18" fillId="0" borderId="0" xfId="4" applyNumberFormat="1" applyFont="1" applyBorder="1"/>
    <xf numFmtId="0" fontId="28" fillId="0" borderId="0" xfId="7" applyFont="1"/>
    <xf numFmtId="0" fontId="29" fillId="0" borderId="0" xfId="7" applyFont="1"/>
    <xf numFmtId="0" fontId="27" fillId="0" borderId="0" xfId="7" applyFont="1"/>
    <xf numFmtId="191" fontId="30" fillId="0" borderId="0" xfId="0" applyNumberFormat="1" applyFont="1"/>
    <xf numFmtId="191" fontId="28" fillId="0" borderId="0" xfId="0" applyNumberFormat="1" applyFont="1"/>
    <xf numFmtId="5" fontId="18" fillId="0" borderId="6" xfId="4" applyNumberFormat="1" applyFont="1" applyBorder="1"/>
    <xf numFmtId="191" fontId="24" fillId="0" borderId="6" xfId="0" applyNumberFormat="1" applyFont="1" applyBorder="1"/>
    <xf numFmtId="0" fontId="31" fillId="0" borderId="0" xfId="7" applyFont="1"/>
    <xf numFmtId="0" fontId="18" fillId="0" borderId="10" xfId="7" applyFont="1" applyBorder="1"/>
    <xf numFmtId="0" fontId="18" fillId="0" borderId="11" xfId="7" applyFont="1" applyBorder="1"/>
    <xf numFmtId="0" fontId="24" fillId="0" borderId="0" xfId="7" applyFont="1"/>
    <xf numFmtId="191" fontId="24" fillId="0" borderId="0" xfId="0" applyNumberFormat="1" applyFont="1"/>
    <xf numFmtId="0" fontId="18" fillId="0" borderId="0" xfId="7" applyFont="1" applyAlignment="1">
      <alignment horizontal="right"/>
    </xf>
    <xf numFmtId="0" fontId="15" fillId="0" borderId="0" xfId="0" applyFont="1" applyAlignment="1">
      <alignment horizontal="centerContinuous"/>
    </xf>
    <xf numFmtId="0" fontId="32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0" fontId="33" fillId="0" borderId="0" xfId="0" applyFont="1" applyAlignment="1">
      <alignment horizontal="centerContinuous"/>
    </xf>
    <xf numFmtId="0" fontId="33" fillId="0" borderId="12" xfId="0" applyFont="1" applyBorder="1"/>
    <xf numFmtId="0" fontId="18" fillId="0" borderId="12" xfId="0" applyFont="1" applyBorder="1"/>
    <xf numFmtId="0" fontId="21" fillId="2" borderId="13" xfId="0" applyFont="1" applyFill="1" applyBorder="1" applyAlignment="1">
      <alignment vertical="center"/>
    </xf>
    <xf numFmtId="0" fontId="18" fillId="2" borderId="14" xfId="0" applyFont="1" applyFill="1" applyBorder="1"/>
    <xf numFmtId="0" fontId="18" fillId="2" borderId="15" xfId="0" applyFont="1" applyFill="1" applyBorder="1"/>
    <xf numFmtId="0" fontId="18" fillId="2" borderId="14" xfId="0" quotePrefix="1" applyFont="1" applyFill="1" applyBorder="1" applyAlignment="1">
      <alignment horizontal="left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left"/>
    </xf>
    <xf numFmtId="0" fontId="18" fillId="0" borderId="8" xfId="0" applyFont="1" applyBorder="1"/>
    <xf numFmtId="0" fontId="34" fillId="0" borderId="8" xfId="0" applyFont="1" applyBorder="1" applyAlignment="1">
      <alignment horizontal="left"/>
    </xf>
    <xf numFmtId="0" fontId="18" fillId="0" borderId="9" xfId="0" applyFont="1" applyBorder="1"/>
    <xf numFmtId="0" fontId="18" fillId="0" borderId="5" xfId="0" applyFont="1" applyBorder="1"/>
    <xf numFmtId="14" fontId="18" fillId="0" borderId="0" xfId="0" applyNumberFormat="1" applyFont="1" applyAlignment="1">
      <alignment horizontal="left"/>
    </xf>
    <xf numFmtId="37" fontId="34" fillId="0" borderId="0" xfId="0" applyNumberFormat="1" applyFont="1" applyAlignment="1">
      <alignment horizontal="right"/>
    </xf>
    <xf numFmtId="7" fontId="34" fillId="0" borderId="6" xfId="0" applyNumberFormat="1" applyFont="1" applyBorder="1" applyAlignment="1">
      <alignment horizontal="right"/>
    </xf>
    <xf numFmtId="10" fontId="18" fillId="0" borderId="0" xfId="0" applyNumberFormat="1" applyFont="1"/>
    <xf numFmtId="0" fontId="18" fillId="0" borderId="5" xfId="0" applyFont="1" applyBorder="1" applyAlignment="1">
      <alignment horizontal="center" vertical="center"/>
    </xf>
    <xf numFmtId="0" fontId="18" fillId="0" borderId="0" xfId="0" quotePrefix="1" applyFont="1" applyAlignment="1">
      <alignment horizontal="left"/>
    </xf>
    <xf numFmtId="0" fontId="18" fillId="0" borderId="6" xfId="0" applyFont="1" applyBorder="1"/>
    <xf numFmtId="39" fontId="34" fillId="0" borderId="6" xfId="0" applyNumberFormat="1" applyFont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18" fillId="0" borderId="11" xfId="0" applyFont="1" applyBorder="1"/>
    <xf numFmtId="0" fontId="18" fillId="0" borderId="10" xfId="0" applyFont="1" applyBorder="1"/>
    <xf numFmtId="37" fontId="34" fillId="0" borderId="1" xfId="0" applyNumberFormat="1" applyFont="1" applyBorder="1" applyAlignment="1">
      <alignment horizontal="right"/>
    </xf>
    <xf numFmtId="166" fontId="34" fillId="0" borderId="11" xfId="0" quotePrefix="1" applyNumberFormat="1" applyFont="1" applyBorder="1" applyAlignment="1">
      <alignment horizontal="right"/>
    </xf>
    <xf numFmtId="37" fontId="34" fillId="0" borderId="8" xfId="0" applyNumberFormat="1" applyFont="1" applyBorder="1" applyAlignment="1">
      <alignment horizontal="right"/>
    </xf>
    <xf numFmtId="39" fontId="34" fillId="0" borderId="8" xfId="0" applyNumberFormat="1" applyFont="1" applyBorder="1" applyAlignment="1">
      <alignment horizontal="right"/>
    </xf>
    <xf numFmtId="0" fontId="18" fillId="0" borderId="0" xfId="0" applyFont="1" applyAlignment="1">
      <alignment vertical="center"/>
    </xf>
    <xf numFmtId="0" fontId="18" fillId="2" borderId="14" xfId="0" quotePrefix="1" applyFont="1" applyFill="1" applyBorder="1" applyAlignment="1">
      <alignment horizontal="left" vertical="center"/>
    </xf>
    <xf numFmtId="0" fontId="18" fillId="2" borderId="14" xfId="0" applyFont="1" applyFill="1" applyBorder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0" borderId="5" xfId="0" quotePrefix="1" applyFont="1" applyBorder="1" applyAlignment="1">
      <alignment horizontal="left"/>
    </xf>
    <xf numFmtId="37" fontId="34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25" fillId="0" borderId="0" xfId="0" applyFont="1" applyAlignment="1">
      <alignment horizontal="centerContinuous" vertical="center"/>
    </xf>
    <xf numFmtId="0" fontId="35" fillId="0" borderId="0" xfId="0" applyFont="1" applyAlignment="1">
      <alignment horizontal="centerContinuous" vertical="center"/>
    </xf>
    <xf numFmtId="0" fontId="35" fillId="0" borderId="6" xfId="0" applyFont="1" applyBorder="1" applyAlignment="1">
      <alignment horizontal="centerContinuous" vertical="center"/>
    </xf>
    <xf numFmtId="0" fontId="18" fillId="0" borderId="10" xfId="0" quotePrefix="1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37" fontId="34" fillId="0" borderId="11" xfId="0" applyNumberFormat="1" applyFont="1" applyBorder="1" applyAlignment="1">
      <alignment horizontal="right"/>
    </xf>
    <xf numFmtId="0" fontId="36" fillId="0" borderId="0" xfId="0" applyFont="1" applyAlignment="1">
      <alignment vertical="center"/>
    </xf>
    <xf numFmtId="0" fontId="34" fillId="0" borderId="5" xfId="0" applyFont="1" applyBorder="1"/>
    <xf numFmtId="0" fontId="18" fillId="0" borderId="6" xfId="0" applyFont="1" applyBorder="1" applyAlignment="1">
      <alignment horizontal="centerContinuous"/>
    </xf>
    <xf numFmtId="0" fontId="21" fillId="0" borderId="0" xfId="0" applyFont="1" applyAlignment="1">
      <alignment horizontal="left" vertical="center"/>
    </xf>
    <xf numFmtId="182" fontId="34" fillId="0" borderId="0" xfId="0" quotePrefix="1" applyNumberFormat="1" applyFont="1" applyAlignment="1">
      <alignment horizontal="centerContinuous"/>
    </xf>
    <xf numFmtId="0" fontId="18" fillId="0" borderId="0" xfId="0" applyFont="1" applyAlignment="1">
      <alignment horizontal="left"/>
    </xf>
    <xf numFmtId="0" fontId="21" fillId="2" borderId="13" xfId="0" applyFont="1" applyFill="1" applyBorder="1" applyAlignment="1">
      <alignment horizontal="left" vertical="center"/>
    </xf>
    <xf numFmtId="0" fontId="34" fillId="0" borderId="10" xfId="0" applyFont="1" applyBorder="1" applyAlignment="1">
      <alignment horizontal="left"/>
    </xf>
    <xf numFmtId="182" fontId="34" fillId="0" borderId="1" xfId="0" quotePrefix="1" applyNumberFormat="1" applyFont="1" applyBorder="1" applyAlignment="1">
      <alignment horizontal="centerContinuous"/>
    </xf>
    <xf numFmtId="0" fontId="18" fillId="0" borderId="1" xfId="0" applyFont="1" applyBorder="1" applyAlignment="1">
      <alignment horizontal="centerContinuous"/>
    </xf>
    <xf numFmtId="0" fontId="18" fillId="0" borderId="11" xfId="0" applyFont="1" applyBorder="1" applyAlignment="1">
      <alignment horizontal="centerContinuous"/>
    </xf>
    <xf numFmtId="0" fontId="18" fillId="0" borderId="7" xfId="0" quotePrefix="1" applyFont="1" applyBorder="1" applyAlignment="1">
      <alignment horizontal="left"/>
    </xf>
    <xf numFmtId="166" fontId="34" fillId="0" borderId="9" xfId="0" quotePrefix="1" applyNumberFormat="1" applyFont="1" applyBorder="1" applyAlignment="1">
      <alignment horizontal="right"/>
    </xf>
    <xf numFmtId="168" fontId="34" fillId="0" borderId="6" xfId="0" applyNumberFormat="1" applyFont="1" applyBorder="1" applyAlignment="1">
      <alignment horizontal="right"/>
    </xf>
    <xf numFmtId="168" fontId="34" fillId="0" borderId="11" xfId="0" applyNumberFormat="1" applyFont="1" applyBorder="1" applyAlignment="1">
      <alignment horizontal="right"/>
    </xf>
    <xf numFmtId="0" fontId="18" fillId="0" borderId="5" xfId="0" applyFont="1" applyBorder="1" applyAlignment="1">
      <alignment horizontal="left" vertical="center"/>
    </xf>
    <xf numFmtId="183" fontId="34" fillId="0" borderId="0" xfId="0" applyNumberFormat="1" applyFont="1"/>
    <xf numFmtId="0" fontId="25" fillId="0" borderId="7" xfId="0" applyFont="1" applyBorder="1"/>
    <xf numFmtId="0" fontId="18" fillId="0" borderId="5" xfId="0" applyFont="1" applyBorder="1" applyAlignment="1">
      <alignment horizontal="left"/>
    </xf>
    <xf numFmtId="0" fontId="34" fillId="0" borderId="0" xfId="0" applyFont="1"/>
    <xf numFmtId="166" fontId="34" fillId="0" borderId="6" xfId="0" applyNumberFormat="1" applyFont="1" applyBorder="1" applyAlignment="1">
      <alignment horizontal="right"/>
    </xf>
    <xf numFmtId="175" fontId="18" fillId="0" borderId="5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 vertical="center"/>
    </xf>
    <xf numFmtId="183" fontId="34" fillId="0" borderId="1" xfId="0" applyNumberFormat="1" applyFont="1" applyBorder="1"/>
    <xf numFmtId="0" fontId="18" fillId="0" borderId="8" xfId="0" quotePrefix="1" applyFont="1" applyBorder="1" applyAlignment="1">
      <alignment horizontal="left"/>
    </xf>
    <xf numFmtId="0" fontId="34" fillId="0" borderId="9" xfId="0" applyFont="1" applyBorder="1" applyAlignment="1">
      <alignment horizontal="right"/>
    </xf>
    <xf numFmtId="175" fontId="18" fillId="0" borderId="0" xfId="0" quotePrefix="1" applyNumberFormat="1" applyFont="1" applyAlignment="1">
      <alignment horizontal="left"/>
    </xf>
    <xf numFmtId="184" fontId="34" fillId="0" borderId="6" xfId="0" applyNumberFormat="1" applyFont="1" applyBorder="1" applyAlignment="1">
      <alignment horizontal="right"/>
    </xf>
    <xf numFmtId="175" fontId="18" fillId="0" borderId="1" xfId="0" quotePrefix="1" applyNumberFormat="1" applyFont="1" applyBorder="1" applyAlignment="1">
      <alignment horizontal="left"/>
    </xf>
    <xf numFmtId="184" fontId="34" fillId="0" borderId="11" xfId="0" applyNumberFormat="1" applyFont="1" applyBorder="1" applyAlignment="1">
      <alignment horizontal="right"/>
    </xf>
    <xf numFmtId="174" fontId="18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184" fontId="34" fillId="0" borderId="0" xfId="0" applyNumberFormat="1" applyFont="1" applyAlignment="1">
      <alignment horizontal="right"/>
    </xf>
    <xf numFmtId="0" fontId="18" fillId="0" borderId="0" xfId="0" quotePrefix="1" applyFont="1"/>
    <xf numFmtId="0" fontId="21" fillId="2" borderId="14" xfId="0" applyFont="1" applyFill="1" applyBorder="1"/>
    <xf numFmtId="0" fontId="21" fillId="2" borderId="15" xfId="0" applyFont="1" applyFill="1" applyBorder="1"/>
    <xf numFmtId="0" fontId="37" fillId="0" borderId="0" xfId="0" applyFont="1"/>
    <xf numFmtId="0" fontId="18" fillId="0" borderId="7" xfId="0" applyFont="1" applyBorder="1"/>
    <xf numFmtId="0" fontId="18" fillId="0" borderId="8" xfId="0" quotePrefix="1" applyFont="1" applyBorder="1"/>
    <xf numFmtId="0" fontId="21" fillId="0" borderId="5" xfId="0" applyFont="1" applyBorder="1"/>
    <xf numFmtId="168" fontId="34" fillId="0" borderId="0" xfId="0" applyNumberFormat="1" applyFont="1"/>
    <xf numFmtId="168" fontId="34" fillId="0" borderId="6" xfId="0" applyNumberFormat="1" applyFont="1" applyBorder="1"/>
    <xf numFmtId="170" fontId="34" fillId="0" borderId="0" xfId="0" applyNumberFormat="1" applyFont="1"/>
    <xf numFmtId="170" fontId="34" fillId="0" borderId="6" xfId="0" applyNumberFormat="1" applyFont="1" applyBorder="1"/>
    <xf numFmtId="0" fontId="25" fillId="0" borderId="5" xfId="0" applyFont="1" applyBorder="1"/>
    <xf numFmtId="0" fontId="21" fillId="0" borderId="5" xfId="0" applyFont="1" applyBorder="1" applyAlignment="1">
      <alignment horizontal="left" vertical="center"/>
    </xf>
    <xf numFmtId="170" fontId="34" fillId="0" borderId="1" xfId="0" applyNumberFormat="1" applyFont="1" applyBorder="1"/>
    <xf numFmtId="170" fontId="34" fillId="0" borderId="11" xfId="0" applyNumberFormat="1" applyFont="1" applyBorder="1"/>
    <xf numFmtId="174" fontId="18" fillId="0" borderId="0" xfId="0" applyNumberFormat="1" applyFont="1" applyAlignment="1">
      <alignment horizontal="left"/>
    </xf>
    <xf numFmtId="0" fontId="38" fillId="0" borderId="0" xfId="9" applyFont="1"/>
    <xf numFmtId="0" fontId="15" fillId="0" borderId="0" xfId="9" applyFont="1" applyAlignment="1">
      <alignment horizontal="centerContinuous"/>
    </xf>
    <xf numFmtId="0" fontId="39" fillId="0" borderId="0" xfId="9" applyFont="1" applyAlignment="1">
      <alignment horizontal="centerContinuous"/>
    </xf>
    <xf numFmtId="0" fontId="18" fillId="0" borderId="0" xfId="9" applyFont="1"/>
    <xf numFmtId="0" fontId="19" fillId="0" borderId="0" xfId="9" applyFont="1" applyAlignment="1">
      <alignment horizontal="centerContinuous"/>
    </xf>
    <xf numFmtId="0" fontId="18" fillId="0" borderId="12" xfId="9" applyFont="1" applyBorder="1"/>
    <xf numFmtId="0" fontId="18" fillId="0" borderId="12" xfId="9" applyFont="1" applyBorder="1" applyAlignment="1">
      <alignment horizontal="center"/>
    </xf>
    <xf numFmtId="0" fontId="24" fillId="0" borderId="0" xfId="9" quotePrefix="1" applyFont="1" applyAlignment="1">
      <alignment horizontal="left"/>
    </xf>
    <xf numFmtId="0" fontId="24" fillId="0" borderId="0" xfId="9" quotePrefix="1" applyFont="1" applyAlignment="1">
      <alignment horizontal="center"/>
    </xf>
    <xf numFmtId="0" fontId="18" fillId="0" borderId="7" xfId="9" applyFont="1" applyBorder="1"/>
    <xf numFmtId="0" fontId="18" fillId="0" borderId="8" xfId="9" applyFont="1" applyBorder="1"/>
    <xf numFmtId="0" fontId="18" fillId="0" borderId="8" xfId="9" applyFont="1" applyBorder="1" applyAlignment="1">
      <alignment horizontal="center"/>
    </xf>
    <xf numFmtId="0" fontId="18" fillId="0" borderId="9" xfId="9" applyFont="1" applyBorder="1" applyAlignment="1">
      <alignment horizontal="center"/>
    </xf>
    <xf numFmtId="0" fontId="21" fillId="0" borderId="1" xfId="9" applyFont="1" applyBorder="1" applyAlignment="1">
      <alignment horizontal="centerContinuous"/>
    </xf>
    <xf numFmtId="0" fontId="21" fillId="0" borderId="5" xfId="9" applyFont="1" applyBorder="1" applyAlignment="1">
      <alignment vertical="center"/>
    </xf>
    <xf numFmtId="0" fontId="21" fillId="0" borderId="0" xfId="9" applyFont="1"/>
    <xf numFmtId="0" fontId="40" fillId="0" borderId="0" xfId="9" applyFont="1" applyAlignment="1">
      <alignment horizontal="center" vertical="center"/>
    </xf>
    <xf numFmtId="0" fontId="40" fillId="0" borderId="6" xfId="9" applyFont="1" applyBorder="1" applyAlignment="1">
      <alignment horizontal="center" vertical="center"/>
    </xf>
    <xf numFmtId="0" fontId="25" fillId="0" borderId="0" xfId="9" quotePrefix="1" applyFont="1" applyAlignment="1">
      <alignment horizontal="right"/>
    </xf>
    <xf numFmtId="0" fontId="21" fillId="0" borderId="10" xfId="9" applyFont="1" applyBorder="1"/>
    <xf numFmtId="0" fontId="21" fillId="0" borderId="1" xfId="9" applyFont="1" applyBorder="1"/>
    <xf numFmtId="0" fontId="21" fillId="0" borderId="1" xfId="9" applyFont="1" applyBorder="1" applyAlignment="1">
      <alignment horizontal="center"/>
    </xf>
    <xf numFmtId="0" fontId="21" fillId="0" borderId="11" xfId="9" applyFont="1" applyBorder="1" applyAlignment="1">
      <alignment horizontal="center"/>
    </xf>
    <xf numFmtId="0" fontId="25" fillId="0" borderId="0" xfId="9" applyFont="1" applyAlignment="1">
      <alignment horizontal="right"/>
    </xf>
    <xf numFmtId="0" fontId="21" fillId="0" borderId="0" xfId="9" applyFont="1" applyAlignment="1">
      <alignment horizontal="center"/>
    </xf>
    <xf numFmtId="0" fontId="41" fillId="0" borderId="0" xfId="9" quotePrefix="1" applyFont="1" applyAlignment="1">
      <alignment horizontal="left"/>
    </xf>
    <xf numFmtId="0" fontId="42" fillId="0" borderId="0" xfId="9" applyFont="1" applyAlignment="1">
      <alignment horizontal="left"/>
    </xf>
    <xf numFmtId="0" fontId="18" fillId="0" borderId="0" xfId="9" applyFont="1" applyAlignment="1">
      <alignment horizontal="center"/>
    </xf>
    <xf numFmtId="0" fontId="21" fillId="0" borderId="0" xfId="9" applyFont="1" applyAlignment="1">
      <alignment horizontal="left" vertical="center"/>
    </xf>
    <xf numFmtId="0" fontId="40" fillId="0" borderId="0" xfId="9" applyFont="1" applyAlignment="1">
      <alignment horizontal="center"/>
    </xf>
    <xf numFmtId="166" fontId="21" fillId="0" borderId="13" xfId="0" applyNumberFormat="1" applyFont="1" applyBorder="1" applyAlignment="1">
      <alignment vertical="center"/>
    </xf>
    <xf numFmtId="166" fontId="21" fillId="0" borderId="14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1" fillId="0" borderId="0" xfId="9" quotePrefix="1" applyFont="1" applyAlignment="1">
      <alignment horizontal="left"/>
    </xf>
    <xf numFmtId="166" fontId="34" fillId="0" borderId="0" xfId="0" applyNumberFormat="1" applyFont="1"/>
    <xf numFmtId="166" fontId="18" fillId="0" borderId="0" xfId="0" applyNumberFormat="1" applyFont="1"/>
    <xf numFmtId="166" fontId="43" fillId="0" borderId="16" xfId="0" applyNumberFormat="1" applyFont="1" applyBorder="1"/>
    <xf numFmtId="166" fontId="43" fillId="0" borderId="17" xfId="0" applyNumberFormat="1" applyFont="1" applyBorder="1"/>
    <xf numFmtId="166" fontId="43" fillId="0" borderId="18" xfId="0" applyNumberFormat="1" applyFont="1" applyBorder="1"/>
    <xf numFmtId="166" fontId="43" fillId="0" borderId="19" xfId="0" applyNumberFormat="1" applyFont="1" applyBorder="1"/>
    <xf numFmtId="166" fontId="43" fillId="0" borderId="0" xfId="0" applyNumberFormat="1" applyFont="1"/>
    <xf numFmtId="166" fontId="43" fillId="0" borderId="20" xfId="0" applyNumberFormat="1" applyFont="1" applyBorder="1"/>
    <xf numFmtId="166" fontId="43" fillId="0" borderId="21" xfId="0" applyNumberFormat="1" applyFont="1" applyBorder="1"/>
    <xf numFmtId="166" fontId="43" fillId="0" borderId="22" xfId="0" applyNumberFormat="1" applyFont="1" applyBorder="1"/>
    <xf numFmtId="166" fontId="43" fillId="0" borderId="23" xfId="0" applyNumberFormat="1" applyFont="1" applyBorder="1"/>
    <xf numFmtId="0" fontId="18" fillId="0" borderId="0" xfId="9" applyFont="1" applyAlignment="1">
      <alignment horizontal="left"/>
    </xf>
    <xf numFmtId="0" fontId="29" fillId="0" borderId="0" xfId="9" applyFont="1" applyAlignment="1">
      <alignment horizontal="center"/>
    </xf>
    <xf numFmtId="171" fontId="43" fillId="0" borderId="0" xfId="4" applyNumberFormat="1" applyFont="1" applyBorder="1" applyAlignment="1" applyProtection="1">
      <alignment horizontal="right"/>
    </xf>
    <xf numFmtId="171" fontId="44" fillId="0" borderId="0" xfId="4" applyNumberFormat="1" applyFont="1" applyBorder="1" applyAlignment="1" applyProtection="1">
      <alignment horizontal="right"/>
    </xf>
    <xf numFmtId="0" fontId="18" fillId="0" borderId="22" xfId="9" applyFont="1" applyBorder="1"/>
    <xf numFmtId="0" fontId="18" fillId="0" borderId="22" xfId="9" applyFont="1" applyBorder="1" applyAlignment="1">
      <alignment horizontal="center"/>
    </xf>
    <xf numFmtId="0" fontId="18" fillId="0" borderId="0" xfId="9" applyFont="1" applyAlignment="1">
      <alignment vertical="center"/>
    </xf>
    <xf numFmtId="170" fontId="45" fillId="0" borderId="13" xfId="0" applyNumberFormat="1" applyFont="1" applyBorder="1" applyAlignment="1">
      <alignment vertical="center"/>
    </xf>
    <xf numFmtId="170" fontId="45" fillId="0" borderId="14" xfId="0" applyNumberFormat="1" applyFont="1" applyBorder="1" applyAlignment="1">
      <alignment vertical="center"/>
    </xf>
    <xf numFmtId="170" fontId="45" fillId="0" borderId="15" xfId="0" applyNumberFormat="1" applyFont="1" applyBorder="1" applyAlignment="1">
      <alignment vertical="center"/>
    </xf>
    <xf numFmtId="0" fontId="21" fillId="0" borderId="0" xfId="9" applyFont="1" applyAlignment="1">
      <alignment horizontal="left"/>
    </xf>
    <xf numFmtId="179" fontId="45" fillId="0" borderId="0" xfId="0" applyNumberFormat="1" applyFont="1"/>
    <xf numFmtId="170" fontId="43" fillId="0" borderId="16" xfId="4" applyNumberFormat="1" applyFont="1" applyFill="1" applyBorder="1" applyProtection="1"/>
    <xf numFmtId="170" fontId="43" fillId="0" borderId="17" xfId="4" applyNumberFormat="1" applyFont="1" applyFill="1" applyBorder="1" applyProtection="1"/>
    <xf numFmtId="170" fontId="43" fillId="0" borderId="18" xfId="0" applyNumberFormat="1" applyFont="1" applyBorder="1"/>
    <xf numFmtId="177" fontId="18" fillId="0" borderId="0" xfId="9" applyNumberFormat="1" applyFont="1"/>
    <xf numFmtId="37" fontId="18" fillId="0" borderId="0" xfId="9" applyNumberFormat="1" applyFont="1"/>
    <xf numFmtId="176" fontId="43" fillId="0" borderId="0" xfId="9" applyNumberFormat="1" applyFont="1"/>
    <xf numFmtId="170" fontId="29" fillId="0" borderId="19" xfId="4" applyNumberFormat="1" applyFont="1" applyFill="1" applyBorder="1" applyProtection="1"/>
    <xf numFmtId="170" fontId="29" fillId="0" borderId="0" xfId="4" applyNumberFormat="1" applyFont="1" applyFill="1" applyBorder="1" applyProtection="1"/>
    <xf numFmtId="170" fontId="29" fillId="0" borderId="20" xfId="4" applyNumberFormat="1" applyFont="1" applyFill="1" applyBorder="1" applyProtection="1"/>
    <xf numFmtId="170" fontId="29" fillId="0" borderId="21" xfId="4" applyNumberFormat="1" applyFont="1" applyBorder="1" applyProtection="1"/>
    <xf numFmtId="170" fontId="29" fillId="0" borderId="22" xfId="4" applyNumberFormat="1" applyFont="1" applyBorder="1" applyProtection="1"/>
    <xf numFmtId="170" fontId="29" fillId="0" borderId="23" xfId="4" applyNumberFormat="1" applyFont="1" applyBorder="1" applyProtection="1"/>
    <xf numFmtId="0" fontId="18" fillId="0" borderId="0" xfId="9" quotePrefix="1" applyFont="1" applyAlignment="1">
      <alignment horizontal="left"/>
    </xf>
    <xf numFmtId="37" fontId="43" fillId="0" borderId="0" xfId="0" applyNumberFormat="1" applyFont="1"/>
    <xf numFmtId="37" fontId="29" fillId="0" borderId="0" xfId="0" applyNumberFormat="1" applyFont="1"/>
    <xf numFmtId="0" fontId="18" fillId="0" borderId="1" xfId="9" applyFont="1" applyBorder="1"/>
    <xf numFmtId="0" fontId="18" fillId="0" borderId="1" xfId="9" applyFont="1" applyBorder="1" applyAlignment="1">
      <alignment horizontal="center"/>
    </xf>
    <xf numFmtId="0" fontId="34" fillId="0" borderId="0" xfId="9" applyFont="1"/>
    <xf numFmtId="0" fontId="32" fillId="0" borderId="0" xfId="0" applyFont="1" applyAlignment="1">
      <alignment horizontal="left"/>
    </xf>
    <xf numFmtId="0" fontId="29" fillId="0" borderId="0" xfId="0" applyFont="1" applyAlignment="1">
      <alignment horizontal="centerContinuous"/>
    </xf>
    <xf numFmtId="0" fontId="46" fillId="0" borderId="0" xfId="7" quotePrefix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8" fillId="0" borderId="0" xfId="0" applyFont="1" applyAlignment="1">
      <alignment horizontal="centerContinuous"/>
    </xf>
    <xf numFmtId="0" fontId="19" fillId="0" borderId="12" xfId="0" applyFont="1" applyBorder="1" applyAlignment="1">
      <alignment horizontal="centerContinuous"/>
    </xf>
    <xf numFmtId="0" fontId="47" fillId="0" borderId="12" xfId="0" applyFont="1" applyBorder="1" applyAlignment="1">
      <alignment horizontal="centerContinuous"/>
    </xf>
    <xf numFmtId="0" fontId="48" fillId="0" borderId="12" xfId="0" applyFont="1" applyBorder="1" applyAlignment="1">
      <alignment horizontal="centerContinuous"/>
    </xf>
    <xf numFmtId="0" fontId="29" fillId="0" borderId="0" xfId="0" applyFont="1"/>
    <xf numFmtId="0" fontId="21" fillId="0" borderId="0" xfId="0" applyFont="1" applyAlignment="1">
      <alignment horizontal="centerContinuous"/>
    </xf>
    <xf numFmtId="0" fontId="23" fillId="0" borderId="1" xfId="0" applyFont="1" applyBorder="1" applyAlignment="1">
      <alignment horizontal="centerContinuous"/>
    </xf>
    <xf numFmtId="173" fontId="25" fillId="0" borderId="0" xfId="0" quotePrefix="1" applyNumberFormat="1" applyFont="1" applyAlignment="1">
      <alignment horizontal="right"/>
    </xf>
    <xf numFmtId="0" fontId="49" fillId="0" borderId="0" xfId="0" applyFont="1"/>
    <xf numFmtId="0" fontId="21" fillId="0" borderId="0" xfId="0" quotePrefix="1" applyFont="1" applyAlignment="1">
      <alignment horizontal="left"/>
    </xf>
    <xf numFmtId="0" fontId="26" fillId="0" borderId="0" xfId="0" applyFont="1"/>
    <xf numFmtId="0" fontId="26" fillId="0" borderId="0" xfId="0" quotePrefix="1" applyFont="1" applyAlignment="1">
      <alignment horizontal="left"/>
    </xf>
    <xf numFmtId="164" fontId="27" fillId="0" borderId="0" xfId="4" applyNumberFormat="1" applyFont="1" applyFill="1" applyBorder="1" applyProtection="1"/>
    <xf numFmtId="164" fontId="27" fillId="0" borderId="0" xfId="4" applyNumberFormat="1" applyFont="1" applyFill="1" applyProtection="1"/>
    <xf numFmtId="164" fontId="50" fillId="0" borderId="0" xfId="4" applyNumberFormat="1" applyFont="1" applyFill="1" applyProtection="1"/>
    <xf numFmtId="166" fontId="51" fillId="0" borderId="0" xfId="0" applyNumberFormat="1" applyFont="1"/>
    <xf numFmtId="166" fontId="24" fillId="0" borderId="0" xfId="0" applyNumberFormat="1" applyFont="1"/>
    <xf numFmtId="166" fontId="52" fillId="0" borderId="0" xfId="0" applyNumberFormat="1" applyFont="1"/>
    <xf numFmtId="164" fontId="34" fillId="0" borderId="0" xfId="4" applyNumberFormat="1" applyFont="1" applyFill="1" applyBorder="1" applyProtection="1"/>
    <xf numFmtId="164" fontId="34" fillId="0" borderId="1" xfId="4" applyNumberFormat="1" applyFont="1" applyFill="1" applyBorder="1" applyProtection="1"/>
    <xf numFmtId="164" fontId="18" fillId="0" borderId="1" xfId="4" applyNumberFormat="1" applyFont="1" applyFill="1" applyBorder="1" applyProtection="1"/>
    <xf numFmtId="0" fontId="21" fillId="0" borderId="0" xfId="0" applyFont="1" applyAlignment="1">
      <alignment horizontal="left"/>
    </xf>
    <xf numFmtId="0" fontId="46" fillId="0" borderId="0" xfId="0" quotePrefix="1" applyFont="1" applyAlignment="1">
      <alignment horizontal="left"/>
    </xf>
    <xf numFmtId="164" fontId="21" fillId="0" borderId="0" xfId="4" applyNumberFormat="1" applyFont="1" applyFill="1" applyBorder="1" applyProtection="1"/>
    <xf numFmtId="164" fontId="21" fillId="0" borderId="0" xfId="4" applyNumberFormat="1" applyFont="1" applyFill="1" applyProtection="1"/>
    <xf numFmtId="0" fontId="18" fillId="0" borderId="22" xfId="0" applyFont="1" applyBorder="1"/>
    <xf numFmtId="0" fontId="21" fillId="0" borderId="22" xfId="0" quotePrefix="1" applyFont="1" applyBorder="1" applyAlignment="1">
      <alignment horizontal="left"/>
    </xf>
    <xf numFmtId="0" fontId="46" fillId="0" borderId="22" xfId="0" quotePrefix="1" applyFont="1" applyBorder="1" applyAlignment="1">
      <alignment horizontal="left"/>
    </xf>
    <xf numFmtId="165" fontId="53" fillId="0" borderId="22" xfId="4" applyNumberFormat="1" applyFont="1" applyFill="1" applyBorder="1" applyProtection="1"/>
    <xf numFmtId="165" fontId="21" fillId="0" borderId="22" xfId="4" applyNumberFormat="1" applyFont="1" applyFill="1" applyBorder="1" applyProtection="1"/>
    <xf numFmtId="165" fontId="53" fillId="0" borderId="0" xfId="4" applyNumberFormat="1" applyFont="1" applyFill="1" applyProtection="1"/>
    <xf numFmtId="165" fontId="21" fillId="0" borderId="0" xfId="4" applyNumberFormat="1" applyFont="1" applyFill="1" applyProtection="1"/>
    <xf numFmtId="164" fontId="54" fillId="0" borderId="0" xfId="4" applyNumberFormat="1" applyFont="1" applyFill="1" applyProtection="1"/>
    <xf numFmtId="164" fontId="18" fillId="0" borderId="0" xfId="4" applyNumberFormat="1" applyFont="1" applyFill="1" applyProtection="1"/>
    <xf numFmtId="166" fontId="24" fillId="0" borderId="1" xfId="0" applyNumberFormat="1" applyFont="1" applyBorder="1"/>
    <xf numFmtId="166" fontId="52" fillId="0" borderId="1" xfId="0" applyNumberFormat="1" applyFont="1" applyBorder="1"/>
    <xf numFmtId="0" fontId="21" fillId="0" borderId="0" xfId="0" applyFont="1"/>
    <xf numFmtId="0" fontId="46" fillId="0" borderId="0" xfId="0" applyFont="1"/>
    <xf numFmtId="164" fontId="55" fillId="0" borderId="0" xfId="4" applyNumberFormat="1" applyFont="1" applyFill="1" applyBorder="1" applyProtection="1"/>
    <xf numFmtId="180" fontId="18" fillId="0" borderId="0" xfId="0" applyNumberFormat="1" applyFont="1"/>
    <xf numFmtId="0" fontId="26" fillId="0" borderId="22" xfId="0" applyFont="1" applyBorder="1"/>
    <xf numFmtId="0" fontId="34" fillId="0" borderId="0" xfId="0" applyFont="1" applyAlignment="1">
      <alignment horizontal="center"/>
    </xf>
    <xf numFmtId="170" fontId="18" fillId="0" borderId="0" xfId="4" applyNumberFormat="1" applyFont="1" applyFill="1" applyBorder="1" applyProtection="1"/>
    <xf numFmtId="170" fontId="18" fillId="0" borderId="0" xfId="4" applyNumberFormat="1" applyFont="1" applyFill="1" applyProtection="1"/>
    <xf numFmtId="168" fontId="21" fillId="0" borderId="0" xfId="4" applyNumberFormat="1" applyFont="1" applyFill="1" applyBorder="1" applyProtection="1"/>
    <xf numFmtId="168" fontId="21" fillId="0" borderId="8" xfId="4" applyNumberFormat="1" applyFont="1" applyFill="1" applyBorder="1" applyProtection="1"/>
    <xf numFmtId="0" fontId="29" fillId="0" borderId="1" xfId="0" applyFont="1" applyBorder="1"/>
    <xf numFmtId="0" fontId="46" fillId="0" borderId="0" xfId="0" applyFont="1" applyAlignment="1">
      <alignment horizontal="right" vertical="center"/>
    </xf>
    <xf numFmtId="0" fontId="25" fillId="0" borderId="0" xfId="0" quotePrefix="1" applyFont="1" applyAlignment="1">
      <alignment horizontal="right"/>
    </xf>
    <xf numFmtId="0" fontId="18" fillId="0" borderId="16" xfId="0" applyFont="1" applyBorder="1"/>
    <xf numFmtId="0" fontId="18" fillId="0" borderId="17" xfId="0" applyFont="1" applyBorder="1"/>
    <xf numFmtId="0" fontId="26" fillId="0" borderId="17" xfId="0" applyFont="1" applyBorder="1"/>
    <xf numFmtId="0" fontId="25" fillId="0" borderId="17" xfId="0" applyFont="1" applyBorder="1"/>
    <xf numFmtId="167" fontId="18" fillId="0" borderId="17" xfId="0" applyNumberFormat="1" applyFont="1" applyBorder="1"/>
    <xf numFmtId="167" fontId="18" fillId="0" borderId="18" xfId="0" applyNumberFormat="1" applyFont="1" applyBorder="1"/>
    <xf numFmtId="0" fontId="18" fillId="0" borderId="21" xfId="0" applyFont="1" applyBorder="1"/>
    <xf numFmtId="0" fontId="25" fillId="0" borderId="22" xfId="0" applyFont="1" applyBorder="1"/>
    <xf numFmtId="166" fontId="18" fillId="0" borderId="22" xfId="0" applyNumberFormat="1" applyFont="1" applyBorder="1" applyAlignment="1">
      <alignment horizontal="right"/>
    </xf>
    <xf numFmtId="180" fontId="18" fillId="0" borderId="22" xfId="0" applyNumberFormat="1" applyFont="1" applyBorder="1" applyAlignment="1">
      <alignment horizontal="right"/>
    </xf>
    <xf numFmtId="180" fontId="18" fillId="0" borderId="23" xfId="0" applyNumberFormat="1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left"/>
    </xf>
    <xf numFmtId="167" fontId="34" fillId="0" borderId="0" xfId="4" applyNumberFormat="1" applyFont="1" applyBorder="1" applyProtection="1"/>
    <xf numFmtId="167" fontId="50" fillId="0" borderId="0" xfId="4" applyNumberFormat="1" applyFont="1" applyBorder="1" applyProtection="1"/>
    <xf numFmtId="167" fontId="18" fillId="0" borderId="0" xfId="4" applyNumberFormat="1" applyFont="1" applyBorder="1" applyProtection="1"/>
    <xf numFmtId="167" fontId="50" fillId="0" borderId="1" xfId="4" applyNumberFormat="1" applyFont="1" applyBorder="1" applyProtection="1"/>
    <xf numFmtId="167" fontId="18" fillId="0" borderId="1" xfId="4" applyNumberFormat="1" applyFont="1" applyBorder="1" applyProtection="1"/>
    <xf numFmtId="0" fontId="56" fillId="0" borderId="0" xfId="0" applyFont="1"/>
    <xf numFmtId="167" fontId="21" fillId="0" borderId="0" xfId="4" applyNumberFormat="1" applyFont="1" applyBorder="1" applyProtection="1"/>
    <xf numFmtId="37" fontId="18" fillId="0" borderId="0" xfId="4" applyNumberFormat="1" applyFont="1" applyBorder="1" applyProtection="1"/>
    <xf numFmtId="39" fontId="34" fillId="0" borderId="0" xfId="4" applyNumberFormat="1" applyFont="1" applyBorder="1" applyProtection="1"/>
    <xf numFmtId="39" fontId="18" fillId="0" borderId="0" xfId="4" applyNumberFormat="1" applyFont="1" applyBorder="1" applyProtection="1"/>
    <xf numFmtId="37" fontId="18" fillId="0" borderId="0" xfId="0" applyNumberFormat="1" applyFont="1"/>
    <xf numFmtId="37" fontId="21" fillId="0" borderId="0" xfId="4" applyNumberFormat="1" applyFont="1" applyBorder="1" applyProtection="1"/>
    <xf numFmtId="168" fontId="21" fillId="0" borderId="0" xfId="4" applyNumberFormat="1" applyFont="1" applyBorder="1" applyProtection="1"/>
    <xf numFmtId="168" fontId="21" fillId="0" borderId="26" xfId="4" applyNumberFormat="1" applyFont="1" applyBorder="1" applyProtection="1"/>
    <xf numFmtId="0" fontId="21" fillId="0" borderId="22" xfId="0" applyFont="1" applyBorder="1"/>
    <xf numFmtId="0" fontId="56" fillId="0" borderId="22" xfId="0" applyFont="1" applyBorder="1"/>
    <xf numFmtId="37" fontId="21" fillId="0" borderId="22" xfId="4" applyNumberFormat="1" applyFont="1" applyBorder="1" applyProtection="1"/>
    <xf numFmtId="0" fontId="21" fillId="0" borderId="1" xfId="0" quotePrefix="1" applyFont="1" applyBorder="1" applyAlignment="1">
      <alignment horizontal="left"/>
    </xf>
    <xf numFmtId="0" fontId="56" fillId="0" borderId="1" xfId="0" applyFont="1" applyBorder="1"/>
    <xf numFmtId="37" fontId="21" fillId="0" borderId="1" xfId="4" applyNumberFormat="1" applyFont="1" applyBorder="1" applyProtection="1"/>
    <xf numFmtId="165" fontId="18" fillId="0" borderId="0" xfId="4" applyNumberFormat="1" applyFont="1" applyBorder="1" applyProtection="1"/>
    <xf numFmtId="0" fontId="24" fillId="0" borderId="0" xfId="0" quotePrefix="1" applyFont="1"/>
    <xf numFmtId="5" fontId="34" fillId="0" borderId="0" xfId="0" applyNumberFormat="1" applyFont="1"/>
    <xf numFmtId="0" fontId="18" fillId="0" borderId="24" xfId="0" applyFont="1" applyBorder="1"/>
    <xf numFmtId="0" fontId="18" fillId="0" borderId="25" xfId="0" applyFont="1" applyBorder="1"/>
    <xf numFmtId="0" fontId="25" fillId="0" borderId="25" xfId="0" applyFont="1" applyBorder="1"/>
    <xf numFmtId="167" fontId="18" fillId="0" borderId="25" xfId="4" applyNumberFormat="1" applyFont="1" applyBorder="1" applyAlignment="1" applyProtection="1">
      <alignment horizontal="right"/>
    </xf>
    <xf numFmtId="167" fontId="18" fillId="0" borderId="30" xfId="4" applyNumberFormat="1" applyFont="1" applyBorder="1" applyAlignment="1" applyProtection="1">
      <alignment horizontal="right"/>
    </xf>
    <xf numFmtId="167" fontId="18" fillId="0" borderId="0" xfId="4" applyNumberFormat="1" applyFont="1" applyBorder="1" applyAlignment="1" applyProtection="1">
      <alignment horizontal="right"/>
    </xf>
    <xf numFmtId="167" fontId="34" fillId="0" borderId="1" xfId="4" applyNumberFormat="1" applyFont="1" applyBorder="1" applyProtection="1"/>
    <xf numFmtId="167" fontId="18" fillId="0" borderId="1" xfId="4" applyNumberFormat="1" applyFont="1" applyBorder="1" applyAlignment="1" applyProtection="1">
      <alignment horizontal="right"/>
    </xf>
    <xf numFmtId="167" fontId="21" fillId="0" borderId="0" xfId="4" applyNumberFormat="1" applyFont="1" applyBorder="1" applyAlignment="1" applyProtection="1">
      <alignment horizontal="right"/>
    </xf>
    <xf numFmtId="37" fontId="25" fillId="0" borderId="0" xfId="0" applyNumberFormat="1" applyFont="1"/>
    <xf numFmtId="37" fontId="34" fillId="0" borderId="0" xfId="0" applyNumberFormat="1" applyFont="1"/>
    <xf numFmtId="167" fontId="34" fillId="0" borderId="0" xfId="4" applyNumberFormat="1" applyFont="1" applyFill="1" applyBorder="1" applyAlignment="1" applyProtection="1">
      <alignment horizontal="right"/>
      <protection locked="0"/>
    </xf>
    <xf numFmtId="167" fontId="34" fillId="0" borderId="1" xfId="4" applyNumberFormat="1" applyFont="1" applyBorder="1" applyAlignment="1" applyProtection="1">
      <alignment horizontal="right"/>
    </xf>
    <xf numFmtId="167" fontId="50" fillId="0" borderId="1" xfId="4" applyNumberFormat="1" applyFont="1" applyBorder="1" applyAlignment="1" applyProtection="1">
      <alignment horizontal="right"/>
    </xf>
    <xf numFmtId="37" fontId="21" fillId="0" borderId="0" xfId="4" applyNumberFormat="1" applyFont="1" applyBorder="1" applyAlignment="1" applyProtection="1">
      <alignment horizontal="right"/>
    </xf>
    <xf numFmtId="167" fontId="34" fillId="0" borderId="1" xfId="4" applyNumberFormat="1" applyFont="1" applyFill="1" applyBorder="1" applyAlignment="1" applyProtection="1">
      <alignment horizontal="right"/>
    </xf>
    <xf numFmtId="167" fontId="50" fillId="0" borderId="1" xfId="4" applyNumberFormat="1" applyFont="1" applyFill="1" applyBorder="1" applyAlignment="1" applyProtection="1">
      <alignment horizontal="right"/>
    </xf>
    <xf numFmtId="167" fontId="21" fillId="0" borderId="0" xfId="4" applyNumberFormat="1" applyFont="1" applyFill="1" applyBorder="1" applyProtection="1"/>
    <xf numFmtId="185" fontId="18" fillId="0" borderId="0" xfId="4" applyNumberFormat="1" applyFont="1" applyBorder="1" applyProtection="1"/>
    <xf numFmtId="167" fontId="34" fillId="0" borderId="1" xfId="4" applyNumberFormat="1" applyFont="1" applyFill="1" applyBorder="1" applyProtection="1">
      <protection locked="0"/>
    </xf>
    <xf numFmtId="167" fontId="34" fillId="0" borderId="1" xfId="4" applyNumberFormat="1" applyFont="1" applyFill="1" applyBorder="1" applyProtection="1"/>
    <xf numFmtId="167" fontId="18" fillId="0" borderId="1" xfId="4" applyNumberFormat="1" applyFont="1" applyFill="1" applyBorder="1" applyProtection="1"/>
    <xf numFmtId="39" fontId="21" fillId="0" borderId="0" xfId="4" applyNumberFormat="1" applyFont="1" applyBorder="1" applyProtection="1"/>
    <xf numFmtId="167" fontId="18" fillId="0" borderId="0" xfId="0" applyNumberFormat="1" applyFont="1"/>
    <xf numFmtId="6" fontId="21" fillId="0" borderId="0" xfId="0" quotePrefix="1" applyNumberFormat="1" applyFont="1" applyAlignment="1">
      <alignment horizontal="left"/>
    </xf>
    <xf numFmtId="168" fontId="21" fillId="0" borderId="26" xfId="0" applyNumberFormat="1" applyFont="1" applyBorder="1"/>
    <xf numFmtId="6" fontId="21" fillId="0" borderId="0" xfId="0" applyNumberFormat="1" applyFont="1" applyAlignment="1">
      <alignment horizontal="left"/>
    </xf>
    <xf numFmtId="168" fontId="21" fillId="0" borderId="0" xfId="0" applyNumberFormat="1" applyFont="1"/>
    <xf numFmtId="43" fontId="18" fillId="0" borderId="0" xfId="4" applyFont="1" applyBorder="1" applyProtection="1"/>
    <xf numFmtId="0" fontId="21" fillId="0" borderId="7" xfId="0" applyFont="1" applyBorder="1"/>
    <xf numFmtId="0" fontId="29" fillId="0" borderId="8" xfId="0" applyFont="1" applyBorder="1"/>
    <xf numFmtId="165" fontId="18" fillId="0" borderId="8" xfId="4" applyNumberFormat="1" applyFont="1" applyBorder="1" applyProtection="1"/>
    <xf numFmtId="165" fontId="18" fillId="0" borderId="9" xfId="4" applyNumberFormat="1" applyFont="1" applyBorder="1" applyProtection="1"/>
    <xf numFmtId="9" fontId="21" fillId="0" borderId="0" xfId="0" applyNumberFormat="1" applyFont="1"/>
    <xf numFmtId="0" fontId="29" fillId="0" borderId="0" xfId="0" quotePrefix="1" applyFont="1"/>
    <xf numFmtId="0" fontId="29" fillId="0" borderId="1" xfId="0" quotePrefix="1" applyFont="1" applyBorder="1"/>
    <xf numFmtId="176" fontId="24" fillId="0" borderId="1" xfId="0" applyNumberFormat="1" applyFont="1" applyBorder="1"/>
    <xf numFmtId="191" fontId="24" fillId="0" borderId="1" xfId="0" applyNumberFormat="1" applyFont="1" applyBorder="1"/>
    <xf numFmtId="191" fontId="24" fillId="0" borderId="11" xfId="0" applyNumberFormat="1" applyFont="1" applyBorder="1"/>
    <xf numFmtId="0" fontId="57" fillId="0" borderId="8" xfId="0" quotePrefix="1" applyFont="1" applyBorder="1"/>
    <xf numFmtId="43" fontId="24" fillId="0" borderId="0" xfId="4" applyFont="1" applyBorder="1" applyProtection="1"/>
    <xf numFmtId="0" fontId="18" fillId="0" borderId="12" xfId="0" applyFont="1" applyBorder="1" applyAlignment="1">
      <alignment horizontal="centerContinuous"/>
    </xf>
    <xf numFmtId="0" fontId="24" fillId="0" borderId="0" xfId="0" quotePrefix="1" applyFont="1" applyAlignment="1">
      <alignment horizontal="left"/>
    </xf>
    <xf numFmtId="0" fontId="18" fillId="0" borderId="0" xfId="0" applyFont="1" applyAlignment="1">
      <alignment horizontal="right"/>
    </xf>
    <xf numFmtId="173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37" fontId="18" fillId="0" borderId="0" xfId="4" applyNumberFormat="1" applyFont="1" applyProtection="1"/>
    <xf numFmtId="167" fontId="27" fillId="0" borderId="0" xfId="4" applyNumberFormat="1" applyFont="1" applyFill="1" applyProtection="1">
      <protection locked="0"/>
    </xf>
    <xf numFmtId="167" fontId="18" fillId="0" borderId="0" xfId="4" applyNumberFormat="1" applyFont="1" applyProtection="1"/>
    <xf numFmtId="37" fontId="18" fillId="0" borderId="0" xfId="4" applyNumberFormat="1" applyFont="1" applyFill="1" applyProtection="1"/>
    <xf numFmtId="167" fontId="18" fillId="0" borderId="0" xfId="4" applyNumberFormat="1" applyFont="1" applyFill="1" applyProtection="1"/>
    <xf numFmtId="37" fontId="34" fillId="0" borderId="0" xfId="4" applyNumberFormat="1" applyFont="1" applyBorder="1" applyProtection="1"/>
    <xf numFmtId="167" fontId="27" fillId="0" borderId="1" xfId="4" applyNumberFormat="1" applyFont="1" applyFill="1" applyBorder="1" applyAlignment="1" applyProtection="1">
      <alignment horizontal="right"/>
      <protection locked="0"/>
    </xf>
    <xf numFmtId="167" fontId="34" fillId="0" borderId="1" xfId="4" applyNumberFormat="1" applyFont="1" applyFill="1" applyBorder="1" applyAlignment="1" applyProtection="1">
      <alignment horizontal="right"/>
      <protection locked="0"/>
    </xf>
    <xf numFmtId="167" fontId="21" fillId="0" borderId="0" xfId="4" applyNumberFormat="1" applyFont="1" applyProtection="1"/>
    <xf numFmtId="165" fontId="18" fillId="0" borderId="0" xfId="4" applyNumberFormat="1" applyFont="1" applyProtection="1"/>
    <xf numFmtId="165" fontId="18" fillId="0" borderId="0" xfId="4" applyNumberFormat="1" applyFont="1" applyFill="1" applyBorder="1" applyProtection="1"/>
    <xf numFmtId="37" fontId="34" fillId="0" borderId="0" xfId="4" applyNumberFormat="1" applyFont="1" applyFill="1" applyProtection="1"/>
    <xf numFmtId="167" fontId="34" fillId="0" borderId="0" xfId="4" applyNumberFormat="1" applyFont="1" applyFill="1" applyProtection="1">
      <protection locked="0"/>
    </xf>
    <xf numFmtId="167" fontId="21" fillId="0" borderId="8" xfId="4" applyNumberFormat="1" applyFont="1" applyBorder="1" applyProtection="1"/>
    <xf numFmtId="5" fontId="21" fillId="0" borderId="0" xfId="4" applyNumberFormat="1" applyFont="1" applyProtection="1"/>
    <xf numFmtId="187" fontId="21" fillId="0" borderId="0" xfId="4" applyNumberFormat="1" applyFont="1" applyProtection="1"/>
    <xf numFmtId="5" fontId="58" fillId="0" borderId="0" xfId="4" applyNumberFormat="1" applyFont="1" applyProtection="1"/>
    <xf numFmtId="37" fontId="21" fillId="0" borderId="0" xfId="4" applyNumberFormat="1" applyFont="1" applyProtection="1"/>
    <xf numFmtId="169" fontId="21" fillId="0" borderId="0" xfId="4" applyNumberFormat="1" applyFont="1" applyProtection="1"/>
    <xf numFmtId="0" fontId="21" fillId="0" borderId="8" xfId="0" quotePrefix="1" applyFont="1" applyBorder="1" applyAlignment="1">
      <alignment horizontal="left"/>
    </xf>
    <xf numFmtId="37" fontId="21" fillId="0" borderId="8" xfId="4" applyNumberFormat="1" applyFont="1" applyBorder="1" applyProtection="1"/>
    <xf numFmtId="167" fontId="18" fillId="0" borderId="8" xfId="4" applyNumberFormat="1" applyFont="1" applyBorder="1" applyProtection="1"/>
    <xf numFmtId="167" fontId="18" fillId="0" borderId="9" xfId="4" applyNumberFormat="1" applyFont="1" applyBorder="1" applyProtection="1"/>
    <xf numFmtId="167" fontId="59" fillId="0" borderId="0" xfId="4" applyNumberFormat="1" applyFont="1" applyBorder="1" applyProtection="1"/>
    <xf numFmtId="167" fontId="35" fillId="0" borderId="0" xfId="4" applyNumberFormat="1" applyFont="1" applyBorder="1" applyProtection="1"/>
    <xf numFmtId="167" fontId="35" fillId="0" borderId="6" xfId="4" applyNumberFormat="1" applyFont="1" applyBorder="1" applyProtection="1"/>
    <xf numFmtId="0" fontId="18" fillId="0" borderId="10" xfId="0" applyFont="1" applyBorder="1" applyAlignment="1">
      <alignment horizontal="left"/>
    </xf>
    <xf numFmtId="192" fontId="18" fillId="0" borderId="1" xfId="4" applyNumberFormat="1" applyFont="1" applyBorder="1" applyProtection="1"/>
    <xf numFmtId="192" fontId="18" fillId="0" borderId="11" xfId="4" applyNumberFormat="1" applyFont="1" applyBorder="1" applyProtection="1"/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left"/>
    </xf>
    <xf numFmtId="192" fontId="18" fillId="0" borderId="0" xfId="4" applyNumberFormat="1" applyFont="1" applyBorder="1" applyProtection="1"/>
    <xf numFmtId="37" fontId="34" fillId="0" borderId="0" xfId="4" applyNumberFormat="1" applyFont="1" applyFill="1" applyBorder="1" applyProtection="1"/>
    <xf numFmtId="169" fontId="18" fillId="0" borderId="0" xfId="4" applyNumberFormat="1" applyFont="1" applyProtection="1"/>
    <xf numFmtId="167" fontId="18" fillId="0" borderId="0" xfId="4" applyNumberFormat="1" applyFont="1" applyFill="1" applyProtection="1">
      <protection locked="0"/>
    </xf>
    <xf numFmtId="167" fontId="27" fillId="0" borderId="0" xfId="4" applyNumberFormat="1" applyFont="1" applyFill="1" applyBorder="1" applyProtection="1">
      <protection locked="0"/>
    </xf>
    <xf numFmtId="167" fontId="34" fillId="0" borderId="0" xfId="4" applyNumberFormat="1" applyFont="1" applyFill="1" applyBorder="1" applyProtection="1">
      <protection locked="0"/>
    </xf>
    <xf numFmtId="169" fontId="60" fillId="0" borderId="0" xfId="4" applyNumberFormat="1" applyFont="1" applyBorder="1" applyProtection="1"/>
    <xf numFmtId="37" fontId="18" fillId="0" borderId="0" xfId="4" applyNumberFormat="1" applyFont="1" applyFill="1" applyBorder="1" applyProtection="1"/>
    <xf numFmtId="164" fontId="18" fillId="0" borderId="0" xfId="4" applyNumberFormat="1" applyFont="1" applyBorder="1" applyProtection="1"/>
    <xf numFmtId="164" fontId="18" fillId="0" borderId="0" xfId="4" applyNumberFormat="1" applyFont="1" applyProtection="1"/>
    <xf numFmtId="0" fontId="24" fillId="0" borderId="0" xfId="0" applyFont="1"/>
    <xf numFmtId="172" fontId="24" fillId="0" borderId="0" xfId="4" applyNumberFormat="1" applyFont="1" applyBorder="1" applyProtection="1"/>
    <xf numFmtId="172" fontId="24" fillId="0" borderId="0" xfId="4" applyNumberFormat="1" applyFont="1" applyProtection="1"/>
    <xf numFmtId="0" fontId="24" fillId="0" borderId="1" xfId="0" quotePrefix="1" applyFont="1" applyBorder="1" applyAlignment="1">
      <alignment horizontal="left"/>
    </xf>
    <xf numFmtId="172" fontId="18" fillId="0" borderId="1" xfId="0" applyNumberFormat="1" applyFont="1" applyBorder="1"/>
    <xf numFmtId="0" fontId="61" fillId="0" borderId="0" xfId="0" applyFont="1" applyAlignment="1">
      <alignment horizontal="centerContinuous"/>
    </xf>
    <xf numFmtId="0" fontId="62" fillId="0" borderId="0" xfId="0" applyFont="1" applyAlignment="1">
      <alignment horizontal="centerContinuous"/>
    </xf>
    <xf numFmtId="0" fontId="63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56" fillId="0" borderId="0" xfId="0" applyFont="1" applyAlignment="1">
      <alignment horizontal="centerContinuous"/>
    </xf>
    <xf numFmtId="0" fontId="29" fillId="0" borderId="12" xfId="0" applyFont="1" applyBorder="1"/>
    <xf numFmtId="0" fontId="21" fillId="0" borderId="1" xfId="0" applyFont="1" applyBorder="1" applyAlignment="1">
      <alignment horizontal="centerContinuous"/>
    </xf>
    <xf numFmtId="0" fontId="64" fillId="0" borderId="0" xfId="0" applyFont="1" applyAlignment="1">
      <alignment horizontal="right"/>
    </xf>
    <xf numFmtId="0" fontId="25" fillId="0" borderId="8" xfId="0" quotePrefix="1" applyFont="1" applyBorder="1" applyAlignment="1">
      <alignment horizontal="right"/>
    </xf>
    <xf numFmtId="0" fontId="65" fillId="0" borderId="0" xfId="0" applyFont="1"/>
    <xf numFmtId="0" fontId="65" fillId="0" borderId="7" xfId="0" applyFont="1" applyBorder="1" applyAlignment="1">
      <alignment horizontal="left" vertical="center"/>
    </xf>
    <xf numFmtId="179" fontId="50" fillId="0" borderId="9" xfId="0" applyNumberFormat="1" applyFont="1" applyBorder="1" applyAlignment="1">
      <alignment vertical="center"/>
    </xf>
    <xf numFmtId="186" fontId="66" fillId="0" borderId="0" xfId="0" applyNumberFormat="1" applyFont="1"/>
    <xf numFmtId="37" fontId="65" fillId="0" borderId="0" xfId="0" applyNumberFormat="1" applyFont="1"/>
    <xf numFmtId="0" fontId="67" fillId="0" borderId="0" xfId="0" applyFont="1"/>
    <xf numFmtId="0" fontId="65" fillId="0" borderId="10" xfId="0" applyFont="1" applyBorder="1" applyAlignment="1">
      <alignment horizontal="left" vertical="center"/>
    </xf>
    <xf numFmtId="0" fontId="65" fillId="0" borderId="1" xfId="0" quotePrefix="1" applyFont="1" applyBorder="1" applyAlignment="1">
      <alignment horizontal="left" vertical="center"/>
    </xf>
    <xf numFmtId="0" fontId="65" fillId="0" borderId="1" xfId="0" applyFont="1" applyBorder="1" applyAlignment="1">
      <alignment vertical="center"/>
    </xf>
    <xf numFmtId="179" fontId="50" fillId="0" borderId="11" xfId="0" applyNumberFormat="1" applyFont="1" applyBorder="1" applyAlignment="1">
      <alignment vertical="center"/>
    </xf>
    <xf numFmtId="190" fontId="18" fillId="0" borderId="0" xfId="0" applyNumberFormat="1" applyFont="1"/>
    <xf numFmtId="168" fontId="18" fillId="0" borderId="0" xfId="0" applyNumberFormat="1" applyFont="1"/>
    <xf numFmtId="0" fontId="68" fillId="0" borderId="0" xfId="0" applyFont="1" applyAlignment="1">
      <alignment horizontal="right"/>
    </xf>
    <xf numFmtId="179" fontId="18" fillId="0" borderId="0" xfId="0" applyNumberFormat="1" applyFont="1"/>
    <xf numFmtId="168" fontId="18" fillId="0" borderId="27" xfId="0" applyNumberFormat="1" applyFont="1" applyBorder="1"/>
    <xf numFmtId="168" fontId="18" fillId="0" borderId="5" xfId="0" applyNumberFormat="1" applyFont="1" applyBorder="1"/>
    <xf numFmtId="167" fontId="65" fillId="0" borderId="0" xfId="0" applyNumberFormat="1" applyFont="1"/>
    <xf numFmtId="168" fontId="18" fillId="0" borderId="28" xfId="0" applyNumberFormat="1" applyFont="1" applyBorder="1"/>
    <xf numFmtId="168" fontId="18" fillId="0" borderId="29" xfId="0" applyNumberFormat="1" applyFont="1" applyBorder="1"/>
    <xf numFmtId="0" fontId="45" fillId="0" borderId="0" xfId="0" applyFont="1" applyAlignment="1">
      <alignment vertical="center"/>
    </xf>
    <xf numFmtId="168" fontId="21" fillId="0" borderId="26" xfId="0" applyNumberFormat="1" applyFont="1" applyBorder="1" applyAlignment="1">
      <alignment vertical="center"/>
    </xf>
    <xf numFmtId="37" fontId="18" fillId="0" borderId="1" xfId="4" applyNumberFormat="1" applyFont="1" applyBorder="1" applyProtection="1"/>
    <xf numFmtId="0" fontId="68" fillId="0" borderId="0" xfId="0" applyFont="1"/>
    <xf numFmtId="0" fontId="21" fillId="0" borderId="13" xfId="0" applyFont="1" applyBorder="1"/>
    <xf numFmtId="0" fontId="18" fillId="0" borderId="14" xfId="0" applyFont="1" applyBorder="1"/>
    <xf numFmtId="166" fontId="69" fillId="0" borderId="15" xfId="0" applyNumberFormat="1" applyFont="1" applyBorder="1"/>
    <xf numFmtId="37" fontId="70" fillId="0" borderId="0" xfId="0" applyNumberFormat="1" applyFont="1"/>
    <xf numFmtId="168" fontId="45" fillId="0" borderId="0" xfId="0" applyNumberFormat="1" applyFont="1"/>
    <xf numFmtId="170" fontId="50" fillId="0" borderId="1" xfId="4" applyNumberFormat="1" applyFont="1" applyFill="1" applyBorder="1" applyProtection="1"/>
    <xf numFmtId="37" fontId="45" fillId="0" borderId="0" xfId="0" applyNumberFormat="1" applyFont="1"/>
    <xf numFmtId="166" fontId="50" fillId="0" borderId="0" xfId="0" applyNumberFormat="1" applyFont="1"/>
    <xf numFmtId="37" fontId="43" fillId="0" borderId="8" xfId="0" applyNumberFormat="1" applyFont="1" applyBorder="1"/>
    <xf numFmtId="37" fontId="34" fillId="0" borderId="8" xfId="0" applyNumberFormat="1" applyFont="1" applyBorder="1"/>
    <xf numFmtId="37" fontId="34" fillId="0" borderId="9" xfId="0" applyNumberFormat="1" applyFont="1" applyBorder="1"/>
    <xf numFmtId="37" fontId="40" fillId="0" borderId="0" xfId="0" applyNumberFormat="1" applyFont="1"/>
    <xf numFmtId="167" fontId="65" fillId="0" borderId="6" xfId="0" applyNumberFormat="1" applyFont="1" applyBorder="1"/>
    <xf numFmtId="167" fontId="65" fillId="0" borderId="1" xfId="0" applyNumberFormat="1" applyFont="1" applyBorder="1"/>
    <xf numFmtId="167" fontId="65" fillId="0" borderId="11" xfId="0" applyNumberFormat="1" applyFont="1" applyBorder="1"/>
    <xf numFmtId="0" fontId="21" fillId="0" borderId="10" xfId="0" applyFont="1" applyBorder="1"/>
    <xf numFmtId="37" fontId="63" fillId="0" borderId="1" xfId="0" applyNumberFormat="1" applyFont="1" applyBorder="1"/>
    <xf numFmtId="37" fontId="40" fillId="0" borderId="1" xfId="0" applyNumberFormat="1" applyFont="1" applyBorder="1"/>
    <xf numFmtId="37" fontId="45" fillId="0" borderId="1" xfId="0" applyNumberFormat="1" applyFont="1" applyBorder="1"/>
    <xf numFmtId="167" fontId="45" fillId="0" borderId="1" xfId="0" applyNumberFormat="1" applyFont="1" applyBorder="1"/>
    <xf numFmtId="167" fontId="45" fillId="0" borderId="11" xfId="0" applyNumberFormat="1" applyFont="1" applyBorder="1"/>
    <xf numFmtId="0" fontId="28" fillId="0" borderId="0" xfId="0" applyFont="1"/>
    <xf numFmtId="37" fontId="43" fillId="0" borderId="1" xfId="0" applyNumberFormat="1" applyFont="1" applyBorder="1"/>
    <xf numFmtId="37" fontId="34" fillId="0" borderId="1" xfId="0" applyNumberFormat="1" applyFont="1" applyBorder="1"/>
    <xf numFmtId="0" fontId="26" fillId="0" borderId="25" xfId="0" applyFont="1" applyBorder="1"/>
    <xf numFmtId="179" fontId="18" fillId="0" borderId="25" xfId="0" applyNumberFormat="1" applyFont="1" applyBorder="1"/>
    <xf numFmtId="179" fontId="18" fillId="0" borderId="30" xfId="0" applyNumberFormat="1" applyFont="1" applyBorder="1"/>
    <xf numFmtId="170" fontId="18" fillId="0" borderId="0" xfId="4" applyNumberFormat="1" applyFont="1" applyProtection="1"/>
    <xf numFmtId="4" fontId="21" fillId="0" borderId="0" xfId="0" applyNumberFormat="1" applyFont="1"/>
    <xf numFmtId="4" fontId="18" fillId="0" borderId="0" xfId="4" applyNumberFormat="1" applyFont="1" applyFill="1" applyBorder="1" applyProtection="1"/>
    <xf numFmtId="4" fontId="18" fillId="0" borderId="0" xfId="0" applyNumberFormat="1" applyFont="1"/>
    <xf numFmtId="43" fontId="65" fillId="0" borderId="0" xfId="4" applyFont="1" applyProtection="1"/>
    <xf numFmtId="179" fontId="34" fillId="0" borderId="0" xfId="4" applyNumberFormat="1" applyFont="1" applyProtection="1"/>
    <xf numFmtId="170" fontId="50" fillId="0" borderId="0" xfId="4" applyNumberFormat="1" applyFont="1" applyProtection="1"/>
    <xf numFmtId="4" fontId="18" fillId="0" borderId="0" xfId="4" applyNumberFormat="1" applyFont="1" applyFill="1" applyBorder="1" applyAlignment="1" applyProtection="1">
      <alignment horizontal="left"/>
    </xf>
    <xf numFmtId="43" fontId="65" fillId="0" borderId="0" xfId="4" applyFont="1" applyFill="1" applyProtection="1"/>
    <xf numFmtId="179" fontId="34" fillId="0" borderId="0" xfId="4" applyNumberFormat="1" applyFont="1" applyFill="1" applyProtection="1"/>
    <xf numFmtId="170" fontId="50" fillId="0" borderId="0" xfId="4" applyNumberFormat="1" applyFont="1" applyFill="1" applyProtection="1"/>
    <xf numFmtId="170" fontId="18" fillId="0" borderId="1" xfId="4" applyNumberFormat="1" applyFont="1" applyFill="1" applyBorder="1" applyProtection="1"/>
    <xf numFmtId="4" fontId="21" fillId="0" borderId="0" xfId="4" applyNumberFormat="1" applyFont="1" applyFill="1" applyBorder="1" applyProtection="1"/>
    <xf numFmtId="170" fontId="21" fillId="0" borderId="0" xfId="0" applyNumberFormat="1" applyFont="1"/>
    <xf numFmtId="168" fontId="21" fillId="0" borderId="26" xfId="4" applyNumberFormat="1" applyFont="1" applyFill="1" applyBorder="1" applyProtection="1"/>
    <xf numFmtId="164" fontId="18" fillId="0" borderId="1" xfId="4" applyNumberFormat="1" applyFont="1" applyBorder="1" applyProtection="1"/>
    <xf numFmtId="189" fontId="18" fillId="0" borderId="0" xfId="0" applyNumberFormat="1" applyFont="1"/>
    <xf numFmtId="167" fontId="18" fillId="0" borderId="1" xfId="0" applyNumberFormat="1" applyFont="1" applyBorder="1"/>
    <xf numFmtId="5" fontId="18" fillId="0" borderId="0" xfId="0" applyNumberFormat="1" applyFont="1"/>
    <xf numFmtId="180" fontId="50" fillId="0" borderId="1" xfId="0" applyNumberFormat="1" applyFont="1" applyBorder="1"/>
    <xf numFmtId="180" fontId="18" fillId="0" borderId="1" xfId="0" applyNumberFormat="1" applyFont="1" applyBorder="1"/>
    <xf numFmtId="168" fontId="21" fillId="0" borderId="14" xfId="0" applyNumberFormat="1" applyFont="1" applyBorder="1"/>
    <xf numFmtId="5" fontId="21" fillId="0" borderId="0" xfId="0" applyNumberFormat="1" applyFont="1"/>
    <xf numFmtId="180" fontId="50" fillId="0" borderId="0" xfId="0" applyNumberFormat="1" applyFont="1"/>
    <xf numFmtId="167" fontId="50" fillId="0" borderId="1" xfId="0" applyNumberFormat="1" applyFont="1" applyBorder="1"/>
  </cellXfs>
  <cellStyles count="14">
    <cellStyle name="Across" xfId="1" xr:uid="{00000000-0005-0000-0000-000000000000}"/>
    <cellStyle name="Bottom" xfId="2" xr:uid="{00000000-0005-0000-0000-000001000000}"/>
    <cellStyle name="Center" xfId="3" xr:uid="{00000000-0005-0000-0000-000002000000}"/>
    <cellStyle name="Comma" xfId="4" builtinId="3"/>
    <cellStyle name="Currency [2]" xfId="5" xr:uid="{00000000-0005-0000-0000-000004000000}"/>
    <cellStyle name="Double" xfId="6" xr:uid="{00000000-0005-0000-0000-000005000000}"/>
    <cellStyle name="Normal" xfId="0" builtinId="0"/>
    <cellStyle name="Normal 2" xfId="13" xr:uid="{00000000-0005-0000-0000-000007000000}"/>
    <cellStyle name="Normal_DrydenNewDCF3" xfId="7" xr:uid="{00000000-0005-0000-0000-000008000000}"/>
    <cellStyle name="Normal_Inverness Drive Model 4-26-02" xfId="8" xr:uid="{00000000-0005-0000-0000-000009000000}"/>
    <cellStyle name="Normal_TrainingDCF1" xfId="9" xr:uid="{00000000-0005-0000-0000-00000A000000}"/>
    <cellStyle name="Numbers" xfId="10" xr:uid="{00000000-0005-0000-0000-00000B000000}"/>
    <cellStyle name="Numbers - Bold - Italic" xfId="11" xr:uid="{00000000-0005-0000-0000-00000C000000}"/>
    <cellStyle name="Outline" xfId="12" xr:uid="{00000000-0005-0000-0000-00000D000000}"/>
  </cellStyles>
  <dxfs count="2"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5" fmlaLink="$D$6" fmlaRange="$C$14:$C$1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81639</xdr:colOff>
      <xdr:row>2</xdr:row>
      <xdr:rowOff>59865</xdr:rowOff>
    </xdr:from>
    <xdr:to>
      <xdr:col>2</xdr:col>
      <xdr:colOff>377005</xdr:colOff>
      <xdr:row>7</xdr:row>
      <xdr:rowOff>136065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39" y="459915"/>
          <a:ext cx="2219416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1158240</xdr:colOff>
          <xdr:row>4</xdr:row>
          <xdr:rowOff>53340</xdr:rowOff>
        </xdr:from>
        <xdr:to>
          <xdr:col>4</xdr:col>
          <xdr:colOff>53340</xdr:colOff>
          <xdr:row>6</xdr:row>
          <xdr:rowOff>30480</xdr:rowOff>
        </xdr:to>
        <xdr:sp macro="" textlink="">
          <xdr:nvSpPr>
            <xdr:cNvPr id="8249" name="Drop Down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3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28"/>
  <sheetViews>
    <sheetView tabSelected="1" zoomScale="80" zoomScaleNormal="80" workbookViewId="0"/>
  </sheetViews>
  <sheetFormatPr defaultColWidth="12.44140625" defaultRowHeight="15.6"/>
  <cols>
    <col min="1" max="1" width="5.21875" style="2" customWidth="1"/>
    <col min="2" max="2" width="23.5546875" style="2" customWidth="1"/>
    <col min="3" max="11" width="12.44140625" style="2"/>
    <col min="12" max="12" width="2.77734375" style="2" customWidth="1"/>
    <col min="13" max="16384" width="12.44140625" style="2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</row>
    <row r="4" spans="1:16" ht="31.2">
      <c r="D4" s="3" t="s">
        <v>195</v>
      </c>
    </row>
    <row r="6" spans="1:16" ht="23.4">
      <c r="D6" s="4" t="s">
        <v>196</v>
      </c>
      <c r="M6" s="2" t="s">
        <v>150</v>
      </c>
    </row>
    <row r="10" spans="1:16" ht="31.2">
      <c r="B10" s="5"/>
    </row>
    <row r="11" spans="1:16" ht="18">
      <c r="B11" s="6"/>
      <c r="C11" s="6"/>
      <c r="D11" s="6"/>
    </row>
    <row r="12" spans="1:16" ht="31.2">
      <c r="B12" s="5" t="s">
        <v>192</v>
      </c>
    </row>
    <row r="13" spans="1:16" ht="20.100000000000001" customHeight="1">
      <c r="B13" s="6">
        <f ca="1">TODAY()</f>
        <v>45576</v>
      </c>
      <c r="C13" s="6"/>
      <c r="D13" s="6"/>
    </row>
    <row r="15" spans="1:16" ht="16.05" customHeight="1">
      <c r="P15" s="7"/>
    </row>
    <row r="16" spans="1:16">
      <c r="P16" s="7"/>
    </row>
    <row r="17" spans="1:10" ht="21">
      <c r="B17" s="8" t="s">
        <v>199</v>
      </c>
    </row>
    <row r="18" spans="1:10">
      <c r="B18" s="2" t="s">
        <v>197</v>
      </c>
    </row>
    <row r="24" spans="1:10" ht="19.05" customHeight="1">
      <c r="D24" s="9"/>
    </row>
    <row r="25" spans="1:10" ht="19.05" customHeight="1">
      <c r="D25" s="10"/>
    </row>
    <row r="28" spans="1:10" ht="16.2" thickBot="1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sheetProtection password="ED9C" sheet="1" objects="1" scenarios="1"/>
  <printOptions horizontalCentered="1" verticalCentered="1"/>
  <pageMargins left="0.25" right="0.25" top="0.3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1:AF58"/>
  <sheetViews>
    <sheetView showGridLines="0" zoomScale="110" zoomScaleNormal="110" workbookViewId="0"/>
  </sheetViews>
  <sheetFormatPr defaultColWidth="10.77734375" defaultRowHeight="13.8"/>
  <cols>
    <col min="1" max="1" width="2.5546875" style="15" customWidth="1"/>
    <col min="2" max="2" width="4.77734375" style="15" customWidth="1"/>
    <col min="3" max="4" width="1.77734375" style="15" customWidth="1"/>
    <col min="5" max="5" width="20.77734375" style="15" customWidth="1"/>
    <col min="6" max="6" width="9.21875" style="15" customWidth="1"/>
    <col min="7" max="7" width="1.77734375" style="15" customWidth="1"/>
    <col min="8" max="15" width="9.21875" style="15" customWidth="1"/>
    <col min="16" max="16" width="1.77734375" style="15" customWidth="1"/>
    <col min="17" max="17" width="4.77734375" style="15" customWidth="1"/>
    <col min="18" max="19" width="2.77734375" style="15" customWidth="1"/>
    <col min="20" max="21" width="1.77734375" style="15" customWidth="1"/>
    <col min="22" max="22" width="20.77734375" style="15" customWidth="1"/>
    <col min="23" max="31" width="9.21875" style="15" customWidth="1"/>
    <col min="32" max="32" width="1.77734375" style="15" customWidth="1"/>
    <col min="33" max="16384" width="10.77734375" style="15"/>
  </cols>
  <sheetData>
    <row r="1" spans="2:32" ht="22.8" customHeight="1">
      <c r="B1" s="12" t="str">
        <f>Cover!B12</f>
        <v>Henderson Manufacturing</v>
      </c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T1" s="13"/>
      <c r="U1" s="13"/>
      <c r="V1" s="13"/>
      <c r="W1" s="13"/>
      <c r="X1" s="14"/>
      <c r="Y1" s="14"/>
      <c r="Z1" s="14"/>
      <c r="AA1" s="14"/>
      <c r="AB1" s="14"/>
      <c r="AC1" s="14"/>
      <c r="AD1" s="14"/>
      <c r="AE1" s="14"/>
    </row>
    <row r="2" spans="2:32" ht="18">
      <c r="B2" s="16" t="s">
        <v>194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2:32" ht="3" customHeight="1" thickBot="1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32" ht="12" customHeight="1"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2:32" ht="15.75" customHeight="1">
      <c r="C5" s="19" t="s">
        <v>160</v>
      </c>
      <c r="D5" s="20"/>
      <c r="E5" s="20"/>
      <c r="F5" s="20"/>
      <c r="G5" s="20"/>
      <c r="H5" s="18"/>
      <c r="I5" s="18"/>
      <c r="J5" s="18"/>
      <c r="K5" s="18"/>
      <c r="L5" s="18"/>
      <c r="M5" s="18"/>
      <c r="N5" s="18"/>
      <c r="O5" s="18"/>
      <c r="P5" s="18"/>
      <c r="T5" s="19" t="str">
        <f>"SUMMMARY VALUES - "&amp;UPPER(CHOOSE(Scenarios!$D$6,Scenarios!C14,Scenarios!C15,Scenarios!C16))</f>
        <v>SUMMMARY VALUES - BASE CASE</v>
      </c>
      <c r="U5" s="20"/>
      <c r="V5" s="20"/>
      <c r="W5" s="20"/>
      <c r="X5" s="18"/>
      <c r="Y5" s="18"/>
      <c r="Z5" s="18"/>
      <c r="AA5" s="18"/>
      <c r="AB5" s="18"/>
      <c r="AC5" s="18"/>
      <c r="AD5" s="18"/>
      <c r="AE5" s="18"/>
    </row>
    <row r="6" spans="2:32" ht="3" customHeight="1">
      <c r="C6" s="20"/>
      <c r="D6" s="20"/>
      <c r="E6" s="20"/>
      <c r="F6" s="20"/>
      <c r="G6" s="20"/>
      <c r="H6" s="18"/>
      <c r="I6" s="18"/>
      <c r="J6" s="18"/>
      <c r="K6" s="18"/>
      <c r="L6" s="18"/>
      <c r="M6" s="18"/>
      <c r="N6" s="18"/>
      <c r="O6" s="18"/>
      <c r="P6" s="18"/>
      <c r="T6" s="20"/>
      <c r="U6" s="20"/>
      <c r="V6" s="20"/>
      <c r="W6" s="20"/>
      <c r="X6" s="18"/>
      <c r="Y6" s="18"/>
      <c r="Z6" s="18"/>
      <c r="AA6" s="18"/>
      <c r="AB6" s="18"/>
      <c r="AC6" s="18"/>
      <c r="AD6" s="18"/>
      <c r="AE6" s="18"/>
    </row>
    <row r="7" spans="2:32">
      <c r="C7" s="21"/>
      <c r="D7" s="22"/>
      <c r="E7" s="22"/>
      <c r="F7" s="22"/>
      <c r="G7" s="22"/>
      <c r="H7" s="22"/>
      <c r="I7" s="22"/>
      <c r="J7" s="22"/>
      <c r="K7" s="23" t="s">
        <v>2</v>
      </c>
      <c r="L7" s="24"/>
      <c r="M7" s="24"/>
      <c r="N7" s="24"/>
      <c r="O7" s="24"/>
      <c r="P7" s="25"/>
      <c r="T7" s="26"/>
      <c r="U7" s="27"/>
      <c r="V7" s="27"/>
      <c r="W7" s="27"/>
      <c r="X7" s="27"/>
      <c r="Y7" s="27"/>
      <c r="Z7" s="27"/>
      <c r="AA7" s="28" t="s">
        <v>2</v>
      </c>
      <c r="AB7" s="29"/>
      <c r="AC7" s="29"/>
      <c r="AD7" s="29"/>
      <c r="AE7" s="29"/>
      <c r="AF7" s="30"/>
    </row>
    <row r="8" spans="2:32">
      <c r="C8" s="31"/>
      <c r="D8" s="32"/>
      <c r="E8" s="32"/>
      <c r="F8" s="32"/>
      <c r="G8" s="32"/>
      <c r="H8" s="33">
        <f>X8</f>
        <v>2022</v>
      </c>
      <c r="I8" s="33">
        <f t="shared" ref="I8:O8" si="0">Y8</f>
        <v>2023</v>
      </c>
      <c r="J8" s="33">
        <f t="shared" si="0"/>
        <v>2024</v>
      </c>
      <c r="K8" s="34">
        <f t="shared" si="0"/>
        <v>2025</v>
      </c>
      <c r="L8" s="34">
        <f t="shared" si="0"/>
        <v>2026</v>
      </c>
      <c r="M8" s="34">
        <f t="shared" si="0"/>
        <v>2027</v>
      </c>
      <c r="N8" s="34">
        <f t="shared" si="0"/>
        <v>2028</v>
      </c>
      <c r="O8" s="34">
        <f t="shared" si="0"/>
        <v>2029</v>
      </c>
      <c r="P8" s="35"/>
      <c r="T8" s="36"/>
      <c r="U8" s="37"/>
      <c r="V8" s="37"/>
      <c r="W8" s="37"/>
      <c r="X8" s="38">
        <f>Model!H7</f>
        <v>2022</v>
      </c>
      <c r="Y8" s="38">
        <f>Model!I7</f>
        <v>2023</v>
      </c>
      <c r="Z8" s="38">
        <f>Model!J7</f>
        <v>2024</v>
      </c>
      <c r="AA8" s="39">
        <f>Model!K7</f>
        <v>2025</v>
      </c>
      <c r="AB8" s="39">
        <f>Model!L7</f>
        <v>2026</v>
      </c>
      <c r="AC8" s="39">
        <f>Model!M7</f>
        <v>2027</v>
      </c>
      <c r="AD8" s="39">
        <f>Model!N7</f>
        <v>2028</v>
      </c>
      <c r="AE8" s="39">
        <f>Model!O7</f>
        <v>2029</v>
      </c>
      <c r="AF8" s="40"/>
    </row>
    <row r="9" spans="2:32" ht="3" customHeight="1">
      <c r="C9" s="36"/>
      <c r="H9" s="41"/>
      <c r="I9" s="41"/>
      <c r="J9" s="42"/>
      <c r="K9" s="43"/>
      <c r="L9" s="43"/>
      <c r="M9" s="43"/>
      <c r="N9" s="43"/>
      <c r="O9" s="43"/>
      <c r="P9" s="44"/>
      <c r="T9" s="36"/>
      <c r="X9" s="41"/>
      <c r="Y9" s="41"/>
      <c r="Z9" s="42"/>
      <c r="AA9" s="43"/>
      <c r="AB9" s="43"/>
      <c r="AC9" s="43"/>
      <c r="AD9" s="43"/>
      <c r="AE9" s="43"/>
      <c r="AF9" s="40"/>
    </row>
    <row r="10" spans="2:32" ht="13.05" customHeight="1">
      <c r="C10" s="36"/>
      <c r="D10" s="45" t="s">
        <v>154</v>
      </c>
      <c r="P10" s="40"/>
      <c r="T10" s="36"/>
      <c r="U10" s="45" t="s">
        <v>154</v>
      </c>
      <c r="AF10" s="40"/>
    </row>
    <row r="11" spans="2:32">
      <c r="C11" s="36"/>
      <c r="E11" s="15" t="s">
        <v>3</v>
      </c>
      <c r="F11" s="46" t="s">
        <v>181</v>
      </c>
      <c r="H11" s="47">
        <v>213.49999999999997</v>
      </c>
      <c r="I11" s="47">
        <v>236.60000000000002</v>
      </c>
      <c r="J11" s="47">
        <v>204.79999999999998</v>
      </c>
      <c r="K11" s="47">
        <v>252.4475548643511</v>
      </c>
      <c r="L11" s="47">
        <v>233.56766048038708</v>
      </c>
      <c r="M11" s="47">
        <v>281.21490954086062</v>
      </c>
      <c r="N11" s="47">
        <v>281.21335544026533</v>
      </c>
      <c r="O11" s="47">
        <v>268.17287049000004</v>
      </c>
      <c r="P11" s="40"/>
      <c r="T11" s="36"/>
      <c r="V11" s="15" t="s">
        <v>3</v>
      </c>
      <c r="W11" s="46" t="s">
        <v>181</v>
      </c>
      <c r="X11" s="48">
        <f>Model!H85</f>
        <v>213.49999999999997</v>
      </c>
      <c r="Y11" s="48">
        <f>Model!I85</f>
        <v>236.60000000000002</v>
      </c>
      <c r="Z11" s="48">
        <f>Model!J85</f>
        <v>204.79999999999998</v>
      </c>
      <c r="AA11" s="48">
        <f>Model!K85</f>
        <v>252.4475548643511</v>
      </c>
      <c r="AB11" s="48">
        <f>Model!L85</f>
        <v>233.56766048038708</v>
      </c>
      <c r="AC11" s="48">
        <f>Model!M85</f>
        <v>281.21490954086062</v>
      </c>
      <c r="AD11" s="48">
        <f>Model!N85</f>
        <v>281.21335544026533</v>
      </c>
      <c r="AE11" s="48">
        <f>Model!O85</f>
        <v>268.17287049000004</v>
      </c>
      <c r="AF11" s="40"/>
    </row>
    <row r="12" spans="2:32">
      <c r="C12" s="36"/>
      <c r="E12" s="49" t="s">
        <v>161</v>
      </c>
      <c r="F12" s="50" t="s">
        <v>115</v>
      </c>
      <c r="G12" s="49"/>
      <c r="H12" s="51"/>
      <c r="I12" s="52">
        <v>0.10819672131147562</v>
      </c>
      <c r="J12" s="52">
        <v>-0.13440405748098072</v>
      </c>
      <c r="K12" s="52">
        <v>0.23265407648608938</v>
      </c>
      <c r="L12" s="52">
        <v>-7.4787392550143106E-2</v>
      </c>
      <c r="M12" s="52">
        <v>0.20399762947693922</v>
      </c>
      <c r="N12" s="52">
        <v>-5.5263805103233921E-6</v>
      </c>
      <c r="O12" s="52">
        <v>-4.6372210629360811E-2</v>
      </c>
      <c r="P12" s="40"/>
      <c r="T12" s="36"/>
      <c r="V12" s="49" t="s">
        <v>161</v>
      </c>
      <c r="W12" s="50" t="s">
        <v>115</v>
      </c>
      <c r="Y12" s="53">
        <f>Y11/X11-1</f>
        <v>0.10819672131147562</v>
      </c>
      <c r="Z12" s="53">
        <f t="shared" ref="Z12:AE12" si="1">Z11/Y11-1</f>
        <v>-0.13440405748098072</v>
      </c>
      <c r="AA12" s="53">
        <f t="shared" si="1"/>
        <v>0.23265407648608938</v>
      </c>
      <c r="AB12" s="53">
        <f t="shared" si="1"/>
        <v>-7.4787392550143106E-2</v>
      </c>
      <c r="AC12" s="53">
        <f t="shared" si="1"/>
        <v>0.20399762947693922</v>
      </c>
      <c r="AD12" s="53">
        <f t="shared" si="1"/>
        <v>-5.5263805103233921E-6</v>
      </c>
      <c r="AE12" s="53">
        <f t="shared" si="1"/>
        <v>-4.6372210629360811E-2</v>
      </c>
      <c r="AF12" s="40"/>
    </row>
    <row r="13" spans="2:32" ht="6" customHeight="1">
      <c r="C13" s="36"/>
      <c r="H13" s="51"/>
      <c r="I13" s="51"/>
      <c r="J13" s="51"/>
      <c r="K13" s="51"/>
      <c r="L13" s="51"/>
      <c r="M13" s="51"/>
      <c r="N13" s="51"/>
      <c r="O13" s="51"/>
      <c r="P13" s="40"/>
      <c r="T13" s="36"/>
      <c r="AF13" s="40"/>
    </row>
    <row r="14" spans="2:32">
      <c r="C14" s="36"/>
      <c r="E14" s="15" t="s">
        <v>5</v>
      </c>
      <c r="F14" s="46" t="s">
        <v>181</v>
      </c>
      <c r="H14" s="47">
        <v>50.19999999999996</v>
      </c>
      <c r="I14" s="47">
        <v>68.400000000000034</v>
      </c>
      <c r="J14" s="47">
        <v>33.099999999999966</v>
      </c>
      <c r="K14" s="47">
        <v>73.8667876274408</v>
      </c>
      <c r="L14" s="47">
        <v>47.103502595472577</v>
      </c>
      <c r="M14" s="47">
        <v>86.447537256543342</v>
      </c>
      <c r="N14" s="47">
        <v>76.700988145183146</v>
      </c>
      <c r="O14" s="47">
        <v>54.342095904000075</v>
      </c>
      <c r="P14" s="54"/>
      <c r="T14" s="36"/>
      <c r="V14" s="15" t="s">
        <v>5</v>
      </c>
      <c r="W14" s="46" t="s">
        <v>181</v>
      </c>
      <c r="X14" s="48">
        <f>Model!H92</f>
        <v>50.19999999999996</v>
      </c>
      <c r="Y14" s="48">
        <f>Model!I92</f>
        <v>68.400000000000034</v>
      </c>
      <c r="Z14" s="48">
        <f>Model!J92</f>
        <v>33.099999999999966</v>
      </c>
      <c r="AA14" s="48">
        <f>Model!K92</f>
        <v>73.8667876274408</v>
      </c>
      <c r="AB14" s="48">
        <f>Model!L92</f>
        <v>47.103502595472577</v>
      </c>
      <c r="AC14" s="48">
        <f>Model!M92</f>
        <v>86.447537256543342</v>
      </c>
      <c r="AD14" s="48">
        <f>Model!N92</f>
        <v>76.700988145183146</v>
      </c>
      <c r="AE14" s="48">
        <f>Model!O92</f>
        <v>54.342095904000075</v>
      </c>
      <c r="AF14" s="40"/>
    </row>
    <row r="15" spans="2:32">
      <c r="C15" s="36"/>
      <c r="E15" s="49" t="s">
        <v>162</v>
      </c>
      <c r="F15" s="50" t="s">
        <v>115</v>
      </c>
      <c r="G15" s="49"/>
      <c r="H15" s="52">
        <v>0.23512880562060876</v>
      </c>
      <c r="I15" s="52">
        <v>0.28909551986475074</v>
      </c>
      <c r="J15" s="52">
        <v>0.16162109374999983</v>
      </c>
      <c r="K15" s="52">
        <v>0.29260250774515129</v>
      </c>
      <c r="L15" s="52">
        <v>0.2016696254035901</v>
      </c>
      <c r="M15" s="52">
        <v>0.30740737536884577</v>
      </c>
      <c r="N15" s="52">
        <v>0.27275016161697124</v>
      </c>
      <c r="O15" s="52">
        <v>0.20263830492885912</v>
      </c>
      <c r="P15" s="55"/>
      <c r="T15" s="36"/>
      <c r="V15" s="49" t="s">
        <v>162</v>
      </c>
      <c r="W15" s="50" t="s">
        <v>115</v>
      </c>
      <c r="X15" s="53">
        <f t="shared" ref="X15:AE15" si="2">X14/X11</f>
        <v>0.23512880562060876</v>
      </c>
      <c r="Y15" s="53">
        <f t="shared" si="2"/>
        <v>0.28909551986475074</v>
      </c>
      <c r="Z15" s="53">
        <f t="shared" si="2"/>
        <v>0.16162109374999983</v>
      </c>
      <c r="AA15" s="53">
        <f t="shared" si="2"/>
        <v>0.29260250774515129</v>
      </c>
      <c r="AB15" s="53">
        <f t="shared" si="2"/>
        <v>0.2016696254035901</v>
      </c>
      <c r="AC15" s="53">
        <f t="shared" si="2"/>
        <v>0.30740737536884577</v>
      </c>
      <c r="AD15" s="53">
        <f t="shared" si="2"/>
        <v>0.27275016161697124</v>
      </c>
      <c r="AE15" s="53">
        <f t="shared" si="2"/>
        <v>0.20263830492885912</v>
      </c>
      <c r="AF15" s="40"/>
    </row>
    <row r="16" spans="2:32">
      <c r="C16" s="36"/>
      <c r="E16" s="49" t="s">
        <v>161</v>
      </c>
      <c r="F16" s="50" t="s">
        <v>115</v>
      </c>
      <c r="G16" s="49"/>
      <c r="H16" s="56"/>
      <c r="I16" s="52">
        <v>0.36254980079681443</v>
      </c>
      <c r="J16" s="52">
        <v>-0.51608187134502992</v>
      </c>
      <c r="K16" s="52">
        <v>1.2316250038501777</v>
      </c>
      <c r="L16" s="52">
        <v>-0.36231824736921303</v>
      </c>
      <c r="M16" s="52">
        <v>0.83526770819910068</v>
      </c>
      <c r="N16" s="52">
        <v>-0.11274524897610616</v>
      </c>
      <c r="O16" s="52">
        <v>-0.29150722542010976</v>
      </c>
      <c r="P16" s="55"/>
      <c r="T16" s="36"/>
      <c r="V16" s="49" t="s">
        <v>161</v>
      </c>
      <c r="W16" s="50" t="s">
        <v>115</v>
      </c>
      <c r="X16" s="50"/>
      <c r="Y16" s="53">
        <f t="shared" ref="Y16:AE16" si="3">Y14/X14-1</f>
        <v>0.36254980079681443</v>
      </c>
      <c r="Z16" s="53">
        <f t="shared" si="3"/>
        <v>-0.51608187134502992</v>
      </c>
      <c r="AA16" s="53">
        <f t="shared" si="3"/>
        <v>1.2316250038501777</v>
      </c>
      <c r="AB16" s="53">
        <f t="shared" si="3"/>
        <v>-0.36231824736921303</v>
      </c>
      <c r="AC16" s="53">
        <f t="shared" si="3"/>
        <v>0.83526770819910068</v>
      </c>
      <c r="AD16" s="53">
        <f t="shared" si="3"/>
        <v>-0.11274524897610616</v>
      </c>
      <c r="AE16" s="53">
        <f t="shared" si="3"/>
        <v>-0.29150722542010976</v>
      </c>
      <c r="AF16" s="40"/>
    </row>
    <row r="17" spans="3:32" ht="6" customHeight="1">
      <c r="C17" s="36"/>
      <c r="H17" s="51"/>
      <c r="I17" s="51"/>
      <c r="J17" s="51"/>
      <c r="K17" s="51"/>
      <c r="L17" s="51"/>
      <c r="M17" s="51"/>
      <c r="N17" s="51"/>
      <c r="O17" s="51"/>
      <c r="P17" s="40"/>
      <c r="T17" s="36"/>
      <c r="AF17" s="40"/>
    </row>
    <row r="18" spans="3:32">
      <c r="C18" s="36"/>
      <c r="E18" s="15" t="s">
        <v>8</v>
      </c>
      <c r="F18" s="46" t="s">
        <v>181</v>
      </c>
      <c r="H18" s="47">
        <v>14.099999999999962</v>
      </c>
      <c r="I18" s="47">
        <v>23.700000000000035</v>
      </c>
      <c r="J18" s="47">
        <v>2.1999999999999651</v>
      </c>
      <c r="K18" s="47">
        <v>30.192873365878761</v>
      </c>
      <c r="L18" s="47">
        <v>13.323916624552936</v>
      </c>
      <c r="M18" s="47">
        <v>39.496667404592543</v>
      </c>
      <c r="N18" s="47">
        <v>33.85947500479093</v>
      </c>
      <c r="O18" s="47">
        <v>19.906765584395387</v>
      </c>
      <c r="P18" s="54"/>
      <c r="T18" s="36"/>
      <c r="V18" s="15" t="s">
        <v>8</v>
      </c>
      <c r="W18" s="46" t="s">
        <v>181</v>
      </c>
      <c r="X18" s="48">
        <f>Model!H104</f>
        <v>14.099999999999962</v>
      </c>
      <c r="Y18" s="48">
        <f>Model!I104</f>
        <v>23.700000000000035</v>
      </c>
      <c r="Z18" s="48">
        <f>Model!J104</f>
        <v>2.1999999999999651</v>
      </c>
      <c r="AA18" s="48">
        <f ca="1">Model!K104</f>
        <v>30.192873365878761</v>
      </c>
      <c r="AB18" s="48">
        <f ca="1">Model!L104</f>
        <v>13.323916624552936</v>
      </c>
      <c r="AC18" s="48">
        <f ca="1">Model!M104</f>
        <v>39.496667404577579</v>
      </c>
      <c r="AD18" s="48">
        <f ca="1">Model!N104</f>
        <v>33.859475007679492</v>
      </c>
      <c r="AE18" s="48">
        <f ca="1">Model!O104</f>
        <v>19.906762112385586</v>
      </c>
      <c r="AF18" s="40"/>
    </row>
    <row r="19" spans="3:32">
      <c r="C19" s="36"/>
      <c r="E19" s="49" t="s">
        <v>162</v>
      </c>
      <c r="F19" s="50" t="s">
        <v>115</v>
      </c>
      <c r="G19" s="49"/>
      <c r="H19" s="52">
        <v>6.604215456674456E-2</v>
      </c>
      <c r="I19" s="52">
        <v>0.10016906170752338</v>
      </c>
      <c r="J19" s="52">
        <v>1.074218749999983E-2</v>
      </c>
      <c r="K19" s="52">
        <v>0.11960057756195122</v>
      </c>
      <c r="L19" s="52">
        <v>5.7045211640811722E-2</v>
      </c>
      <c r="M19" s="52">
        <v>0.14045011862663584</v>
      </c>
      <c r="N19" s="52">
        <v>0.12040493223296886</v>
      </c>
      <c r="O19" s="52">
        <v>7.423109409994437E-2</v>
      </c>
      <c r="P19" s="54"/>
      <c r="T19" s="36"/>
      <c r="V19" s="49" t="s">
        <v>162</v>
      </c>
      <c r="W19" s="50" t="s">
        <v>115</v>
      </c>
      <c r="X19" s="53">
        <f>X18/X11</f>
        <v>6.604215456674456E-2</v>
      </c>
      <c r="Y19" s="53">
        <f>Y18/Y11</f>
        <v>0.10016906170752338</v>
      </c>
      <c r="Z19" s="53">
        <f t="shared" ref="Z19:AE19" si="4">Z18/Z11</f>
        <v>1.074218749999983E-2</v>
      </c>
      <c r="AA19" s="53">
        <f t="shared" ca="1" si="4"/>
        <v>0.11960057756195122</v>
      </c>
      <c r="AB19" s="53">
        <f t="shared" ca="1" si="4"/>
        <v>5.7045211640811722E-2</v>
      </c>
      <c r="AC19" s="53">
        <f t="shared" ca="1" si="4"/>
        <v>0.14045011862658263</v>
      </c>
      <c r="AD19" s="53">
        <f t="shared" ca="1" si="4"/>
        <v>0.12040493224324063</v>
      </c>
      <c r="AE19" s="53">
        <f t="shared" ca="1" si="4"/>
        <v>7.4231081153035186E-2</v>
      </c>
      <c r="AF19" s="40"/>
    </row>
    <row r="20" spans="3:32">
      <c r="C20" s="36"/>
      <c r="E20" s="49" t="s">
        <v>161</v>
      </c>
      <c r="F20" s="50" t="s">
        <v>115</v>
      </c>
      <c r="G20" s="49"/>
      <c r="H20" s="56"/>
      <c r="I20" s="52">
        <v>0.68085106382979421</v>
      </c>
      <c r="J20" s="52">
        <v>-0.9071729957805923</v>
      </c>
      <c r="K20" s="52">
        <v>12.724033348126927</v>
      </c>
      <c r="L20" s="52">
        <v>-0.55870657081580011</v>
      </c>
      <c r="M20" s="52">
        <v>1.9643436323977892</v>
      </c>
      <c r="N20" s="52">
        <v>-0.14272577334325021</v>
      </c>
      <c r="O20" s="52">
        <v>-0.41207695684653445</v>
      </c>
      <c r="P20" s="54"/>
      <c r="T20" s="36"/>
      <c r="V20" s="49" t="s">
        <v>161</v>
      </c>
      <c r="W20" s="50" t="s">
        <v>115</v>
      </c>
      <c r="X20" s="50"/>
      <c r="Y20" s="53">
        <f>Y18/X18-1</f>
        <v>0.68085106382979421</v>
      </c>
      <c r="Z20" s="53">
        <f t="shared" ref="Z20:AE20" si="5">Z18/Y18-1</f>
        <v>-0.9071729957805923</v>
      </c>
      <c r="AA20" s="53">
        <f t="shared" ca="1" si="5"/>
        <v>12.724033348126927</v>
      </c>
      <c r="AB20" s="53">
        <f t="shared" ca="1" si="5"/>
        <v>-0.55870657081580011</v>
      </c>
      <c r="AC20" s="53">
        <f t="shared" ca="1" si="5"/>
        <v>1.9643436323966661</v>
      </c>
      <c r="AD20" s="53">
        <f t="shared" ca="1" si="5"/>
        <v>-0.14272577326979108</v>
      </c>
      <c r="AE20" s="53">
        <f t="shared" ca="1" si="5"/>
        <v>-0.41207705943843975</v>
      </c>
      <c r="AF20" s="40"/>
    </row>
    <row r="21" spans="3:32" ht="6" customHeight="1">
      <c r="C21" s="5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58"/>
      <c r="T21" s="5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58"/>
    </row>
    <row r="23" spans="3:32" ht="15.75" customHeight="1">
      <c r="C23" s="19" t="s">
        <v>198</v>
      </c>
      <c r="D23" s="20"/>
      <c r="E23" s="20"/>
      <c r="F23" s="20"/>
      <c r="G23" s="20"/>
      <c r="H23" s="18"/>
      <c r="I23" s="18"/>
      <c r="J23" s="18"/>
      <c r="K23" s="18"/>
      <c r="L23" s="18"/>
      <c r="M23" s="18"/>
      <c r="N23" s="18"/>
      <c r="O23" s="18"/>
      <c r="P23" s="18"/>
    </row>
    <row r="24" spans="3:32" ht="3" customHeight="1">
      <c r="C24" s="20"/>
      <c r="D24" s="20"/>
      <c r="E24" s="20"/>
      <c r="F24" s="20"/>
      <c r="G24" s="20"/>
      <c r="H24" s="18"/>
      <c r="I24" s="18"/>
      <c r="J24" s="18"/>
      <c r="K24" s="18"/>
      <c r="L24" s="18"/>
      <c r="M24" s="18"/>
      <c r="N24" s="18"/>
      <c r="O24" s="18"/>
      <c r="P24" s="18"/>
    </row>
    <row r="25" spans="3:32">
      <c r="C25" s="21"/>
      <c r="D25" s="22"/>
      <c r="E25" s="22"/>
      <c r="F25" s="22"/>
      <c r="G25" s="22"/>
      <c r="H25" s="22"/>
      <c r="I25" s="22"/>
      <c r="J25" s="22"/>
      <c r="K25" s="23" t="s">
        <v>2</v>
      </c>
      <c r="L25" s="24"/>
      <c r="M25" s="24"/>
      <c r="N25" s="24"/>
      <c r="O25" s="24"/>
      <c r="P25" s="25"/>
    </row>
    <row r="26" spans="3:32">
      <c r="C26" s="31"/>
      <c r="D26" s="32"/>
      <c r="E26" s="32"/>
      <c r="F26" s="32"/>
      <c r="G26" s="32"/>
      <c r="H26" s="33">
        <f>H8</f>
        <v>2022</v>
      </c>
      <c r="I26" s="33">
        <f t="shared" ref="I26:O26" si="6">I8</f>
        <v>2023</v>
      </c>
      <c r="J26" s="33">
        <f t="shared" si="6"/>
        <v>2024</v>
      </c>
      <c r="K26" s="34">
        <f t="shared" si="6"/>
        <v>2025</v>
      </c>
      <c r="L26" s="34">
        <f t="shared" si="6"/>
        <v>2026</v>
      </c>
      <c r="M26" s="34">
        <f t="shared" si="6"/>
        <v>2027</v>
      </c>
      <c r="N26" s="34">
        <f t="shared" si="6"/>
        <v>2028</v>
      </c>
      <c r="O26" s="34">
        <f t="shared" si="6"/>
        <v>2029</v>
      </c>
      <c r="P26" s="35"/>
    </row>
    <row r="27" spans="3:32" ht="3" customHeight="1">
      <c r="C27" s="36"/>
      <c r="H27" s="41"/>
      <c r="I27" s="41"/>
      <c r="J27" s="42"/>
      <c r="K27" s="43"/>
      <c r="L27" s="43"/>
      <c r="M27" s="43"/>
      <c r="N27" s="43"/>
      <c r="O27" s="43"/>
      <c r="P27" s="44"/>
    </row>
    <row r="28" spans="3:32" ht="13.05" customHeight="1">
      <c r="C28" s="36"/>
      <c r="D28" s="45" t="s">
        <v>154</v>
      </c>
      <c r="P28" s="40"/>
    </row>
    <row r="29" spans="3:32">
      <c r="C29" s="36"/>
      <c r="E29" s="15" t="s">
        <v>3</v>
      </c>
      <c r="F29" s="46" t="s">
        <v>181</v>
      </c>
      <c r="H29" s="47">
        <v>213.49999999999997</v>
      </c>
      <c r="I29" s="47">
        <v>236.60000000000002</v>
      </c>
      <c r="J29" s="47">
        <v>204.79999999999998</v>
      </c>
      <c r="K29" s="47">
        <v>264.09341627786421</v>
      </c>
      <c r="L29" s="47">
        <v>244.62902406635567</v>
      </c>
      <c r="M29" s="47">
        <v>297.19819537247986</v>
      </c>
      <c r="N29" s="47">
        <v>300.40107702308615</v>
      </c>
      <c r="O29" s="47">
        <v>281.50084467066245</v>
      </c>
      <c r="P29" s="40"/>
      <c r="W29" s="46"/>
      <c r="X29" s="48"/>
      <c r="Y29" s="48"/>
      <c r="Z29" s="48"/>
      <c r="AA29" s="48"/>
      <c r="AB29" s="48"/>
      <c r="AC29" s="48"/>
      <c r="AD29" s="48"/>
      <c r="AE29" s="48"/>
    </row>
    <row r="30" spans="3:32">
      <c r="C30" s="36"/>
      <c r="E30" s="49" t="s">
        <v>161</v>
      </c>
      <c r="F30" s="50" t="s">
        <v>115</v>
      </c>
      <c r="G30" s="49"/>
      <c r="H30" s="51"/>
      <c r="I30" s="52">
        <v>0.10819672131147562</v>
      </c>
      <c r="J30" s="52">
        <v>-0.13440405748098072</v>
      </c>
      <c r="K30" s="52">
        <v>0.28951863416925883</v>
      </c>
      <c r="L30" s="52">
        <v>-7.3702678718159387E-2</v>
      </c>
      <c r="M30" s="52">
        <v>0.21489343509732017</v>
      </c>
      <c r="N30" s="52">
        <v>1.0776921598033562E-2</v>
      </c>
      <c r="O30" s="52">
        <v>-6.2916659752758508E-2</v>
      </c>
      <c r="P30" s="40"/>
      <c r="V30" s="59"/>
      <c r="W30" s="46"/>
      <c r="Y30" s="60"/>
      <c r="Z30" s="60"/>
      <c r="AA30" s="60"/>
      <c r="AB30" s="60"/>
      <c r="AC30" s="60"/>
      <c r="AD30" s="60"/>
      <c r="AE30" s="60"/>
    </row>
    <row r="31" spans="3:32" ht="6" customHeight="1">
      <c r="C31" s="36"/>
      <c r="H31" s="51"/>
      <c r="I31" s="51"/>
      <c r="J31" s="51"/>
      <c r="K31" s="51"/>
      <c r="L31" s="51"/>
      <c r="M31" s="51"/>
      <c r="N31" s="51"/>
      <c r="O31" s="51"/>
      <c r="P31" s="40"/>
    </row>
    <row r="32" spans="3:32">
      <c r="C32" s="36"/>
      <c r="E32" s="15" t="s">
        <v>5</v>
      </c>
      <c r="F32" s="46" t="s">
        <v>181</v>
      </c>
      <c r="H32" s="47">
        <v>50.19999999999996</v>
      </c>
      <c r="I32" s="47">
        <v>68.400000000000034</v>
      </c>
      <c r="J32" s="47">
        <v>33.099999999999966</v>
      </c>
      <c r="K32" s="47">
        <v>85.512649040953903</v>
      </c>
      <c r="L32" s="47">
        <v>58.530482177293919</v>
      </c>
      <c r="M32" s="47">
        <v>102.0548649272618</v>
      </c>
      <c r="N32" s="47">
        <v>95.255519115857567</v>
      </c>
      <c r="O32" s="47">
        <v>70.58071270915201</v>
      </c>
      <c r="P32" s="54"/>
      <c r="W32" s="46"/>
      <c r="X32" s="48"/>
      <c r="Y32" s="48"/>
      <c r="Z32" s="48"/>
      <c r="AA32" s="48"/>
      <c r="AB32" s="48"/>
      <c r="AC32" s="48"/>
      <c r="AD32" s="48"/>
      <c r="AE32" s="48"/>
    </row>
    <row r="33" spans="3:31">
      <c r="C33" s="36"/>
      <c r="E33" s="49" t="s">
        <v>162</v>
      </c>
      <c r="F33" s="50" t="s">
        <v>115</v>
      </c>
      <c r="G33" s="49"/>
      <c r="H33" s="52">
        <v>0.23512880562060876</v>
      </c>
      <c r="I33" s="52">
        <v>0.28909551986475074</v>
      </c>
      <c r="J33" s="52">
        <v>0.16162109374999983</v>
      </c>
      <c r="K33" s="52">
        <v>0.32379697398810697</v>
      </c>
      <c r="L33" s="52">
        <v>0.23926221510583109</v>
      </c>
      <c r="M33" s="52">
        <v>0.34338992132625829</v>
      </c>
      <c r="N33" s="52">
        <v>0.31709446603793995</v>
      </c>
      <c r="O33" s="52">
        <v>0.25073002104745662</v>
      </c>
      <c r="P33" s="55"/>
      <c r="V33" s="59"/>
      <c r="W33" s="46"/>
      <c r="X33" s="60"/>
      <c r="Y33" s="60"/>
      <c r="Z33" s="60"/>
      <c r="AA33" s="60"/>
      <c r="AB33" s="60"/>
      <c r="AC33" s="60"/>
      <c r="AD33" s="60"/>
      <c r="AE33" s="60"/>
    </row>
    <row r="34" spans="3:31">
      <c r="C34" s="36"/>
      <c r="E34" s="49" t="s">
        <v>161</v>
      </c>
      <c r="F34" s="50" t="s">
        <v>115</v>
      </c>
      <c r="G34" s="49"/>
      <c r="H34" s="56"/>
      <c r="I34" s="52">
        <v>0.36254980079681443</v>
      </c>
      <c r="J34" s="52">
        <v>-0.51608187134502992</v>
      </c>
      <c r="K34" s="52">
        <v>1.5834637172493653</v>
      </c>
      <c r="L34" s="52">
        <v>-0.31553421822703243</v>
      </c>
      <c r="M34" s="52">
        <v>0.74361907045509623</v>
      </c>
      <c r="N34" s="52">
        <v>-6.6624416349483906E-2</v>
      </c>
      <c r="O34" s="52">
        <v>-0.25903807606878959</v>
      </c>
      <c r="P34" s="55"/>
      <c r="V34" s="59"/>
      <c r="W34" s="46"/>
      <c r="Y34" s="60"/>
      <c r="Z34" s="60"/>
      <c r="AA34" s="60"/>
      <c r="AB34" s="60"/>
      <c r="AC34" s="60"/>
      <c r="AD34" s="60"/>
      <c r="AE34" s="60"/>
    </row>
    <row r="35" spans="3:31" ht="6" customHeight="1">
      <c r="C35" s="36"/>
      <c r="H35" s="51"/>
      <c r="I35" s="51"/>
      <c r="J35" s="51"/>
      <c r="K35" s="51"/>
      <c r="L35" s="51"/>
      <c r="M35" s="51"/>
      <c r="N35" s="51"/>
      <c r="O35" s="51"/>
      <c r="P35" s="40"/>
    </row>
    <row r="36" spans="3:31">
      <c r="C36" s="36"/>
      <c r="E36" s="15" t="s">
        <v>8</v>
      </c>
      <c r="F36" s="46" t="s">
        <v>181</v>
      </c>
      <c r="H36" s="47">
        <v>14.099999999999962</v>
      </c>
      <c r="I36" s="47">
        <v>23.700000000000035</v>
      </c>
      <c r="J36" s="47">
        <v>2.1999999999999651</v>
      </c>
      <c r="K36" s="47">
        <v>37.777737610515516</v>
      </c>
      <c r="L36" s="47">
        <v>20.876533788207126</v>
      </c>
      <c r="M36" s="47">
        <v>49.81228096306311</v>
      </c>
      <c r="N36" s="47">
        <v>46.07109922758503</v>
      </c>
      <c r="O36" s="47">
        <v>30.682396638553413</v>
      </c>
      <c r="P36" s="54"/>
      <c r="W36" s="46"/>
      <c r="X36" s="61"/>
      <c r="Y36" s="61"/>
      <c r="Z36" s="61"/>
      <c r="AA36" s="48"/>
      <c r="AB36" s="48"/>
      <c r="AC36" s="48"/>
      <c r="AD36" s="48"/>
      <c r="AE36" s="48"/>
    </row>
    <row r="37" spans="3:31">
      <c r="C37" s="36"/>
      <c r="E37" s="49" t="s">
        <v>162</v>
      </c>
      <c r="F37" s="50" t="s">
        <v>115</v>
      </c>
      <c r="G37" s="49"/>
      <c r="H37" s="52">
        <v>6.604215456674456E-2</v>
      </c>
      <c r="I37" s="52">
        <v>0.10016906170752338</v>
      </c>
      <c r="J37" s="52">
        <v>1.074218749999983E-2</v>
      </c>
      <c r="K37" s="52">
        <v>0.14304687387877899</v>
      </c>
      <c r="L37" s="52">
        <v>8.5339562089510532E-2</v>
      </c>
      <c r="M37" s="52">
        <v>0.16760626995272684</v>
      </c>
      <c r="N37" s="52">
        <v>0.15336529310793523</v>
      </c>
      <c r="O37" s="52">
        <v>0.10899575336780892</v>
      </c>
      <c r="P37" s="54"/>
      <c r="W37" s="46"/>
      <c r="X37" s="61"/>
      <c r="Y37" s="61"/>
      <c r="Z37" s="61"/>
      <c r="AA37" s="48"/>
      <c r="AB37" s="48"/>
      <c r="AC37" s="48"/>
      <c r="AD37" s="48"/>
      <c r="AE37" s="48"/>
    </row>
    <row r="38" spans="3:31">
      <c r="C38" s="36"/>
      <c r="E38" s="49" t="s">
        <v>161</v>
      </c>
      <c r="F38" s="50" t="s">
        <v>115</v>
      </c>
      <c r="G38" s="49"/>
      <c r="H38" s="56"/>
      <c r="I38" s="52">
        <v>0.68085106382979421</v>
      </c>
      <c r="J38" s="52">
        <v>-0.9071729957805923</v>
      </c>
      <c r="K38" s="52">
        <v>16.171698913870962</v>
      </c>
      <c r="L38" s="52">
        <v>-0.44738528274398048</v>
      </c>
      <c r="M38" s="52">
        <v>1.3860417379824517</v>
      </c>
      <c r="N38" s="52">
        <v>-7.5105609764231529E-2</v>
      </c>
      <c r="O38" s="52">
        <v>-0.33402073853314196</v>
      </c>
      <c r="P38" s="54"/>
      <c r="W38" s="46"/>
      <c r="X38" s="61"/>
      <c r="Y38" s="61"/>
      <c r="Z38" s="61"/>
      <c r="AA38" s="48"/>
      <c r="AB38" s="48"/>
      <c r="AC38" s="48"/>
      <c r="AD38" s="48"/>
      <c r="AE38" s="48"/>
    </row>
    <row r="39" spans="3:31" ht="6" customHeight="1">
      <c r="C39" s="5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58"/>
    </row>
    <row r="41" spans="3:31" ht="15.75" customHeight="1">
      <c r="C41" s="19" t="s">
        <v>163</v>
      </c>
      <c r="D41" s="20"/>
      <c r="E41" s="20"/>
      <c r="F41" s="20"/>
      <c r="G41" s="20"/>
      <c r="H41" s="18"/>
      <c r="I41" s="18"/>
      <c r="J41" s="18"/>
      <c r="K41" s="18"/>
      <c r="L41" s="18"/>
      <c r="M41" s="18"/>
      <c r="N41" s="18"/>
      <c r="O41" s="18"/>
      <c r="P41" s="18"/>
    </row>
    <row r="42" spans="3:31" ht="3" customHeight="1">
      <c r="C42" s="20"/>
      <c r="D42" s="20"/>
      <c r="E42" s="20"/>
      <c r="F42" s="20"/>
      <c r="G42" s="20"/>
      <c r="H42" s="18"/>
      <c r="I42" s="18"/>
      <c r="J42" s="18"/>
      <c r="K42" s="18"/>
      <c r="L42" s="18"/>
      <c r="M42" s="18"/>
      <c r="N42" s="18"/>
      <c r="O42" s="18"/>
      <c r="P42" s="18"/>
    </row>
    <row r="43" spans="3:31">
      <c r="C43" s="21"/>
      <c r="D43" s="22"/>
      <c r="E43" s="22"/>
      <c r="F43" s="22"/>
      <c r="G43" s="22"/>
      <c r="H43" s="22"/>
      <c r="I43" s="22"/>
      <c r="J43" s="22"/>
      <c r="K43" s="23" t="s">
        <v>2</v>
      </c>
      <c r="L43" s="24"/>
      <c r="M43" s="24"/>
      <c r="N43" s="24"/>
      <c r="O43" s="24"/>
      <c r="P43" s="25"/>
    </row>
    <row r="44" spans="3:31">
      <c r="C44" s="31"/>
      <c r="D44" s="32"/>
      <c r="E44" s="32"/>
      <c r="F44" s="32"/>
      <c r="G44" s="32"/>
      <c r="H44" s="33">
        <f>H26</f>
        <v>2022</v>
      </c>
      <c r="I44" s="33">
        <f t="shared" ref="I44:O44" si="7">I26</f>
        <v>2023</v>
      </c>
      <c r="J44" s="33">
        <f t="shared" si="7"/>
        <v>2024</v>
      </c>
      <c r="K44" s="34">
        <f t="shared" si="7"/>
        <v>2025</v>
      </c>
      <c r="L44" s="34">
        <f t="shared" si="7"/>
        <v>2026</v>
      </c>
      <c r="M44" s="34">
        <f t="shared" si="7"/>
        <v>2027</v>
      </c>
      <c r="N44" s="34">
        <f t="shared" si="7"/>
        <v>2028</v>
      </c>
      <c r="O44" s="34">
        <f t="shared" si="7"/>
        <v>2029</v>
      </c>
      <c r="P44" s="35"/>
    </row>
    <row r="45" spans="3:31" ht="3" customHeight="1">
      <c r="C45" s="36"/>
      <c r="H45" s="41"/>
      <c r="I45" s="41"/>
      <c r="J45" s="42"/>
      <c r="K45" s="43"/>
      <c r="L45" s="43"/>
      <c r="M45" s="43"/>
      <c r="N45" s="43"/>
      <c r="O45" s="43"/>
      <c r="P45" s="44"/>
    </row>
    <row r="46" spans="3:31" ht="13.05" customHeight="1">
      <c r="C46" s="36"/>
      <c r="D46" s="45" t="s">
        <v>154</v>
      </c>
      <c r="P46" s="40"/>
    </row>
    <row r="47" spans="3:31">
      <c r="C47" s="36"/>
      <c r="E47" s="15" t="s">
        <v>3</v>
      </c>
      <c r="F47" s="46" t="s">
        <v>181</v>
      </c>
      <c r="H47" s="47">
        <v>213.49999999999997</v>
      </c>
      <c r="I47" s="47">
        <v>236.60000000000002</v>
      </c>
      <c r="J47" s="47">
        <v>204.79999999999998</v>
      </c>
      <c r="K47" s="47">
        <v>238.4008755256034</v>
      </c>
      <c r="L47" s="47">
        <v>220.15810379586435</v>
      </c>
      <c r="M47" s="47">
        <v>262.59341530868045</v>
      </c>
      <c r="N47" s="47">
        <v>259.92121976604983</v>
      </c>
      <c r="O47" s="47">
        <v>244.6558877355248</v>
      </c>
      <c r="P47" s="40"/>
      <c r="W47" s="46"/>
      <c r="X47" s="48"/>
      <c r="Y47" s="48"/>
      <c r="Z47" s="48"/>
      <c r="AA47" s="48"/>
      <c r="AB47" s="48"/>
      <c r="AC47" s="48"/>
      <c r="AD47" s="48"/>
      <c r="AE47" s="48"/>
    </row>
    <row r="48" spans="3:31">
      <c r="C48" s="36"/>
      <c r="E48" s="49" t="s">
        <v>161</v>
      </c>
      <c r="F48" s="50" t="s">
        <v>115</v>
      </c>
      <c r="G48" s="49"/>
      <c r="H48" s="51"/>
      <c r="I48" s="52">
        <v>0.10819672131147562</v>
      </c>
      <c r="J48" s="52">
        <v>-0.13440405748098072</v>
      </c>
      <c r="K48" s="52">
        <v>0.16406677502736033</v>
      </c>
      <c r="L48" s="52">
        <v>-7.6521412471825534E-2</v>
      </c>
      <c r="M48" s="52">
        <v>0.19274925965097833</v>
      </c>
      <c r="N48" s="52">
        <v>-1.0176171171274118E-2</v>
      </c>
      <c r="O48" s="52">
        <v>-5.8730610929977445E-2</v>
      </c>
      <c r="P48" s="40"/>
      <c r="V48" s="59"/>
      <c r="W48" s="46"/>
      <c r="Y48" s="60"/>
      <c r="Z48" s="60"/>
      <c r="AA48" s="60"/>
      <c r="AB48" s="60"/>
      <c r="AC48" s="60"/>
      <c r="AD48" s="60"/>
      <c r="AE48" s="60"/>
    </row>
    <row r="49" spans="2:31" ht="6" customHeight="1">
      <c r="C49" s="36"/>
      <c r="H49" s="51"/>
      <c r="I49" s="51"/>
      <c r="J49" s="51"/>
      <c r="K49" s="51"/>
      <c r="L49" s="51"/>
      <c r="M49" s="51"/>
      <c r="N49" s="51"/>
      <c r="O49" s="51"/>
      <c r="P49" s="40"/>
    </row>
    <row r="50" spans="2:31">
      <c r="C50" s="36"/>
      <c r="E50" s="15" t="s">
        <v>5</v>
      </c>
      <c r="F50" s="46" t="s">
        <v>181</v>
      </c>
      <c r="H50" s="47">
        <v>50.19999999999996</v>
      </c>
      <c r="I50" s="47">
        <v>68.400000000000034</v>
      </c>
      <c r="J50" s="47">
        <v>33.099999999999966</v>
      </c>
      <c r="K50" s="47">
        <v>60.826591786187464</v>
      </c>
      <c r="L50" s="47">
        <v>33.852817329646967</v>
      </c>
      <c r="M50" s="47">
        <v>68.199325996971425</v>
      </c>
      <c r="N50" s="47">
        <v>57.04481977208809</v>
      </c>
      <c r="O50" s="47">
        <v>34.157970736369037</v>
      </c>
      <c r="P50" s="54"/>
      <c r="W50" s="46"/>
      <c r="X50" s="48"/>
      <c r="Y50" s="48"/>
      <c r="Z50" s="48"/>
      <c r="AA50" s="48"/>
      <c r="AB50" s="48"/>
      <c r="AC50" s="48"/>
      <c r="AD50" s="48"/>
      <c r="AE50" s="48"/>
    </row>
    <row r="51" spans="2:31">
      <c r="C51" s="36"/>
      <c r="E51" s="49" t="s">
        <v>162</v>
      </c>
      <c r="F51" s="50" t="s">
        <v>115</v>
      </c>
      <c r="G51" s="49"/>
      <c r="H51" s="52">
        <v>0.23512880562060876</v>
      </c>
      <c r="I51" s="52">
        <v>0.28909551986475074</v>
      </c>
      <c r="J51" s="52">
        <v>0.16162109374999983</v>
      </c>
      <c r="K51" s="52">
        <v>0.25514416275562252</v>
      </c>
      <c r="L51" s="52">
        <v>0.153765937959913</v>
      </c>
      <c r="M51" s="52">
        <v>0.25971453212870027</v>
      </c>
      <c r="N51" s="52">
        <v>0.21946965247174915</v>
      </c>
      <c r="O51" s="52">
        <v>0.13961638549771632</v>
      </c>
      <c r="P51" s="55"/>
      <c r="V51" s="59"/>
      <c r="W51" s="46"/>
      <c r="X51" s="60"/>
      <c r="Y51" s="60"/>
      <c r="Z51" s="60"/>
      <c r="AA51" s="60"/>
      <c r="AB51" s="60"/>
      <c r="AC51" s="60"/>
      <c r="AD51" s="60"/>
      <c r="AE51" s="60"/>
    </row>
    <row r="52" spans="2:31">
      <c r="C52" s="36"/>
      <c r="E52" s="49" t="s">
        <v>161</v>
      </c>
      <c r="F52" s="50" t="s">
        <v>115</v>
      </c>
      <c r="G52" s="49"/>
      <c r="H52" s="56"/>
      <c r="I52" s="52">
        <v>0.36254980079681443</v>
      </c>
      <c r="J52" s="52">
        <v>-0.51608187134502992</v>
      </c>
      <c r="K52" s="52">
        <v>0.83766138326850537</v>
      </c>
      <c r="L52" s="52">
        <v>-0.44345365512761992</v>
      </c>
      <c r="M52" s="52">
        <v>1.0145834638479303</v>
      </c>
      <c r="N52" s="52">
        <v>-0.1635574261449253</v>
      </c>
      <c r="O52" s="52">
        <v>-0.40120819256085261</v>
      </c>
      <c r="P52" s="55"/>
      <c r="V52" s="59"/>
      <c r="W52" s="46"/>
      <c r="Y52" s="60"/>
      <c r="Z52" s="60"/>
      <c r="AA52" s="60"/>
      <c r="AB52" s="60"/>
      <c r="AC52" s="60"/>
      <c r="AD52" s="60"/>
      <c r="AE52" s="60"/>
    </row>
    <row r="53" spans="2:31" ht="6" customHeight="1">
      <c r="C53" s="36"/>
      <c r="H53" s="51"/>
      <c r="I53" s="51"/>
      <c r="J53" s="51"/>
      <c r="K53" s="51"/>
      <c r="L53" s="51"/>
      <c r="M53" s="51"/>
      <c r="N53" s="51"/>
      <c r="O53" s="51"/>
      <c r="P53" s="40"/>
    </row>
    <row r="54" spans="2:31">
      <c r="C54" s="36"/>
      <c r="E54" s="15" t="s">
        <v>8</v>
      </c>
      <c r="F54" s="46" t="s">
        <v>181</v>
      </c>
      <c r="H54" s="47">
        <v>14.099999999999962</v>
      </c>
      <c r="I54" s="47">
        <v>23.700000000000035</v>
      </c>
      <c r="J54" s="47">
        <v>2.1999999999999651</v>
      </c>
      <c r="K54" s="47">
        <v>21.64257981800445</v>
      </c>
      <c r="L54" s="47">
        <v>4.3932148757547829</v>
      </c>
      <c r="M54" s="47">
        <v>26.96544911953157</v>
      </c>
      <c r="N54" s="47">
        <v>20.076274775274541</v>
      </c>
      <c r="O54" s="47">
        <v>5.3535524361309186</v>
      </c>
      <c r="P54" s="54"/>
      <c r="W54" s="46"/>
      <c r="X54" s="61"/>
      <c r="Y54" s="61"/>
      <c r="Z54" s="61"/>
      <c r="AA54" s="48"/>
      <c r="AB54" s="48"/>
      <c r="AC54" s="48"/>
      <c r="AD54" s="48"/>
      <c r="AE54" s="48"/>
    </row>
    <row r="55" spans="2:31">
      <c r="C55" s="36"/>
      <c r="E55" s="49" t="s">
        <v>162</v>
      </c>
      <c r="F55" s="50" t="s">
        <v>115</v>
      </c>
      <c r="G55" s="49"/>
      <c r="H55" s="52">
        <v>6.604215456674456E-2</v>
      </c>
      <c r="I55" s="52">
        <v>0.10016906170752338</v>
      </c>
      <c r="J55" s="52">
        <v>1.074218749999983E-2</v>
      </c>
      <c r="K55" s="52">
        <v>9.07823000661762E-2</v>
      </c>
      <c r="L55" s="52">
        <v>1.9954817924069116E-2</v>
      </c>
      <c r="M55" s="52">
        <v>0.10268897675074408</v>
      </c>
      <c r="N55" s="52">
        <v>7.7239845185956016E-2</v>
      </c>
      <c r="O55" s="52">
        <v>2.1881968530093814E-2</v>
      </c>
      <c r="P55" s="54"/>
      <c r="W55" s="46"/>
      <c r="X55" s="61"/>
      <c r="Y55" s="61"/>
      <c r="Z55" s="61"/>
      <c r="AA55" s="48"/>
      <c r="AB55" s="48"/>
      <c r="AC55" s="48"/>
      <c r="AD55" s="48"/>
      <c r="AE55" s="48"/>
    </row>
    <row r="56" spans="2:31">
      <c r="C56" s="36"/>
      <c r="E56" s="49" t="s">
        <v>161</v>
      </c>
      <c r="F56" s="50" t="s">
        <v>115</v>
      </c>
      <c r="G56" s="49"/>
      <c r="H56" s="56"/>
      <c r="I56" s="52">
        <v>0.68085106382979421</v>
      </c>
      <c r="J56" s="52">
        <v>-0.9071729957805923</v>
      </c>
      <c r="K56" s="52">
        <v>8.8375362809112694</v>
      </c>
      <c r="L56" s="52">
        <v>-0.79701057301403277</v>
      </c>
      <c r="M56" s="52">
        <v>5.1379763754211387</v>
      </c>
      <c r="N56" s="52">
        <v>-0.25548153541663332</v>
      </c>
      <c r="O56" s="52">
        <v>-0.73333935224256708</v>
      </c>
      <c r="P56" s="54"/>
      <c r="W56" s="46"/>
      <c r="X56" s="61"/>
      <c r="Y56" s="61"/>
      <c r="Z56" s="61"/>
      <c r="AA56" s="48"/>
      <c r="AB56" s="48"/>
      <c r="AC56" s="48"/>
      <c r="AD56" s="48"/>
      <c r="AE56" s="48"/>
    </row>
    <row r="57" spans="2:31" ht="6" customHeight="1">
      <c r="C57" s="5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58"/>
    </row>
    <row r="58" spans="2:31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</sheetData>
  <printOptions horizontalCentered="1"/>
  <pageMargins left="0.23622047244094499" right="0.23622047244094499" top="0.35433070866141703" bottom="0.511811023622047" header="0.23622047244094499" footer="0.23622047244094499"/>
  <pageSetup scale="85" orientation="landscape" r:id="rId1"/>
  <headerFooter alignWithMargins="0">
    <oddFooter>&amp;L&amp;"Calibri,Bold"&amp;9Financial Modeling Institute&amp;"Calibri,Regular"
C:\My Documents\Henderson Model.xls&amp;C&amp;"Calibri,Regular"&amp;9Page &amp;P of &amp;N&amp;R&amp;"Calibri,Regular"&amp;9&amp;D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1:Q85"/>
  <sheetViews>
    <sheetView showGridLines="0" zoomScale="110" zoomScaleNormal="110" workbookViewId="0"/>
  </sheetViews>
  <sheetFormatPr defaultColWidth="8.77734375" defaultRowHeight="13.8"/>
  <cols>
    <col min="1" max="1" width="2.5546875" style="65" customWidth="1"/>
    <col min="2" max="2" width="5.5546875" style="65" customWidth="1"/>
    <col min="3" max="3" width="2.21875" style="65" customWidth="1"/>
    <col min="4" max="4" width="13.44140625" style="65" customWidth="1"/>
    <col min="5" max="14" width="10.44140625" style="65" customWidth="1"/>
    <col min="15" max="15" width="5.5546875" style="65" customWidth="1"/>
    <col min="16" max="16384" width="8.77734375" style="65"/>
  </cols>
  <sheetData>
    <row r="1" spans="2:17" ht="22.5" customHeight="1">
      <c r="B1" s="62" t="str">
        <f>Summary!B1</f>
        <v>Henderson Manufacturing</v>
      </c>
      <c r="C1" s="63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7" ht="18.75" customHeight="1">
      <c r="B2" s="66" t="s">
        <v>112</v>
      </c>
      <c r="C2" s="6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7" ht="4.05" customHeight="1" thickBot="1">
      <c r="B3" s="67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2:17" ht="9" customHeight="1"/>
    <row r="5" spans="2:17">
      <c r="C5" s="69" t="s">
        <v>83</v>
      </c>
      <c r="D5" s="70"/>
      <c r="E5" s="70"/>
      <c r="F5" s="70"/>
      <c r="G5" s="70"/>
      <c r="H5" s="71"/>
      <c r="J5" s="69" t="s">
        <v>124</v>
      </c>
      <c r="K5" s="72"/>
      <c r="L5" s="70"/>
      <c r="M5" s="70"/>
      <c r="N5" s="71"/>
    </row>
    <row r="6" spans="2:17" ht="14.1" customHeight="1">
      <c r="C6" s="73" t="s">
        <v>81</v>
      </c>
      <c r="D6" s="74" t="s">
        <v>155</v>
      </c>
      <c r="E6" s="75"/>
      <c r="F6" s="75"/>
      <c r="G6" s="76">
        <v>2025</v>
      </c>
      <c r="H6" s="77"/>
      <c r="J6" s="78" t="str">
        <f ca="1">"Stock Price - "&amp;TEXT(TODAY()-1,"mm/dd/yy")</f>
        <v>Stock Price - 10/10/24</v>
      </c>
      <c r="K6" s="79"/>
      <c r="M6" s="80"/>
      <c r="N6" s="81">
        <v>11.5</v>
      </c>
      <c r="Q6" s="82"/>
    </row>
    <row r="7" spans="2:17" ht="14.1" customHeight="1">
      <c r="C7" s="83" t="s">
        <v>81</v>
      </c>
      <c r="D7" s="84" t="s">
        <v>180</v>
      </c>
      <c r="H7" s="85"/>
      <c r="J7" s="78" t="str">
        <f>"Fully Diluted Shares O/S (MM) - Dec. 31, "&amp;G6-1</f>
        <v>Fully Diluted Shares O/S (MM) - Dec. 31, 2024</v>
      </c>
      <c r="N7" s="86">
        <v>14.8</v>
      </c>
    </row>
    <row r="8" spans="2:17" ht="14.1" customHeight="1">
      <c r="C8" s="87"/>
      <c r="D8" s="88" t="s">
        <v>134</v>
      </c>
      <c r="E8" s="89"/>
      <c r="F8" s="89"/>
      <c r="G8" s="89"/>
      <c r="H8" s="90"/>
      <c r="J8" s="91" t="s">
        <v>125</v>
      </c>
      <c r="K8" s="89"/>
      <c r="L8" s="89"/>
      <c r="M8" s="92"/>
      <c r="N8" s="93">
        <v>0.2</v>
      </c>
    </row>
    <row r="9" spans="2:17" ht="14.1" customHeight="1">
      <c r="J9" s="75"/>
      <c r="K9" s="75"/>
      <c r="L9" s="75"/>
      <c r="M9" s="94"/>
      <c r="N9" s="95"/>
    </row>
    <row r="10" spans="2:17" s="96" customFormat="1">
      <c r="C10" s="69" t="s">
        <v>84</v>
      </c>
      <c r="D10" s="97"/>
      <c r="E10" s="98"/>
      <c r="F10" s="98"/>
      <c r="G10" s="98"/>
      <c r="H10" s="99"/>
      <c r="J10" s="69" t="s">
        <v>85</v>
      </c>
      <c r="K10" s="98"/>
      <c r="L10" s="98"/>
      <c r="M10" s="98"/>
      <c r="N10" s="99"/>
    </row>
    <row r="11" spans="2:17" ht="14.1" customHeight="1">
      <c r="C11" s="83" t="s">
        <v>81</v>
      </c>
      <c r="D11" s="84" t="s">
        <v>80</v>
      </c>
      <c r="H11" s="85"/>
      <c r="J11" s="100" t="s">
        <v>173</v>
      </c>
      <c r="N11" s="101">
        <v>420</v>
      </c>
    </row>
    <row r="12" spans="2:17" ht="14.1" customHeight="1">
      <c r="C12" s="102" t="s">
        <v>0</v>
      </c>
      <c r="D12" s="103"/>
      <c r="E12" s="104" t="str">
        <f>Scenarios!G6&amp;" - "&amp;Scenarios!K6</f>
        <v>2025 - 2029</v>
      </c>
      <c r="F12" s="105"/>
      <c r="G12" s="104"/>
      <c r="H12" s="106"/>
      <c r="J12" s="107"/>
      <c r="K12" s="108"/>
      <c r="L12" s="108"/>
      <c r="M12" s="108"/>
      <c r="N12" s="109"/>
    </row>
    <row r="13" spans="2:17" s="110" customFormat="1" ht="15.6">
      <c r="C13" s="111" t="s">
        <v>60</v>
      </c>
      <c r="D13" s="65"/>
      <c r="E13" s="64" t="s">
        <v>149</v>
      </c>
      <c r="F13" s="64"/>
      <c r="G13" s="64"/>
      <c r="H13" s="112"/>
      <c r="I13" s="113"/>
      <c r="J13" s="65"/>
      <c r="K13" s="65"/>
      <c r="L13" s="65"/>
      <c r="M13" s="65"/>
      <c r="N13" s="65"/>
    </row>
    <row r="14" spans="2:17" ht="14.1" customHeight="1">
      <c r="C14" s="111" t="s">
        <v>61</v>
      </c>
      <c r="E14" s="114">
        <v>0.04</v>
      </c>
      <c r="F14" s="64"/>
      <c r="G14" s="64"/>
      <c r="H14" s="112"/>
      <c r="I14" s="115"/>
      <c r="J14" s="116" t="s">
        <v>86</v>
      </c>
      <c r="K14" s="70"/>
      <c r="L14" s="70"/>
      <c r="M14" s="70"/>
      <c r="N14" s="71"/>
    </row>
    <row r="15" spans="2:17" ht="15.6" customHeight="1">
      <c r="C15" s="117" t="s">
        <v>62</v>
      </c>
      <c r="D15" s="89"/>
      <c r="E15" s="118">
        <v>-0.04</v>
      </c>
      <c r="F15" s="119"/>
      <c r="G15" s="119"/>
      <c r="H15" s="120"/>
      <c r="I15" s="115"/>
      <c r="J15" s="121" t="s">
        <v>82</v>
      </c>
      <c r="K15" s="75"/>
      <c r="L15" s="75"/>
      <c r="M15" s="75"/>
      <c r="N15" s="122">
        <v>0.35</v>
      </c>
    </row>
    <row r="16" spans="2:17" ht="14.1" customHeight="1">
      <c r="I16" s="115"/>
      <c r="J16" s="100" t="s">
        <v>190</v>
      </c>
      <c r="N16" s="123"/>
    </row>
    <row r="17" spans="2:15" ht="14.1" customHeight="1">
      <c r="C17" s="69" t="s">
        <v>87</v>
      </c>
      <c r="D17" s="72"/>
      <c r="E17" s="70"/>
      <c r="F17" s="70"/>
      <c r="G17" s="70"/>
      <c r="H17" s="71"/>
      <c r="J17" s="107"/>
      <c r="K17" s="89"/>
      <c r="L17" s="89"/>
      <c r="M17" s="89"/>
      <c r="N17" s="124"/>
    </row>
    <row r="18" spans="2:15" ht="15.6" customHeight="1">
      <c r="C18" s="102" t="s">
        <v>88</v>
      </c>
      <c r="D18" s="84"/>
      <c r="E18" s="43">
        <f>G6</f>
        <v>2025</v>
      </c>
      <c r="G18" s="43" t="s">
        <v>90</v>
      </c>
      <c r="H18" s="85"/>
    </row>
    <row r="19" spans="2:15" ht="14.1" customHeight="1">
      <c r="C19" s="125" t="s">
        <v>89</v>
      </c>
      <c r="D19" s="84"/>
      <c r="E19" s="126">
        <v>226</v>
      </c>
      <c r="F19" s="65" t="s">
        <v>156</v>
      </c>
      <c r="G19" s="65" t="s">
        <v>91</v>
      </c>
      <c r="H19" s="85"/>
      <c r="J19" s="69" t="s">
        <v>106</v>
      </c>
      <c r="K19" s="70"/>
      <c r="L19" s="70"/>
      <c r="M19" s="70"/>
      <c r="N19" s="71"/>
    </row>
    <row r="20" spans="2:15" ht="14.1" customHeight="1">
      <c r="C20" s="125" t="s">
        <v>164</v>
      </c>
      <c r="D20" s="84"/>
      <c r="E20" s="126">
        <v>66.2</v>
      </c>
      <c r="F20" s="65" t="s">
        <v>156</v>
      </c>
      <c r="G20" s="65" t="s">
        <v>91</v>
      </c>
      <c r="H20" s="85"/>
      <c r="J20" s="127" t="s">
        <v>151</v>
      </c>
      <c r="N20" s="85"/>
    </row>
    <row r="21" spans="2:15" ht="14.1" customHeight="1">
      <c r="C21" s="125" t="s">
        <v>165</v>
      </c>
      <c r="D21" s="115"/>
      <c r="E21" s="126">
        <v>23.5</v>
      </c>
      <c r="F21" s="65" t="s">
        <v>157</v>
      </c>
      <c r="G21" s="65" t="s">
        <v>93</v>
      </c>
      <c r="H21" s="85"/>
      <c r="J21" s="128" t="s">
        <v>139</v>
      </c>
      <c r="M21" s="129"/>
      <c r="N21" s="130">
        <v>0.01</v>
      </c>
    </row>
    <row r="22" spans="2:15" ht="15.6" customHeight="1">
      <c r="C22" s="125" t="s">
        <v>54</v>
      </c>
      <c r="D22" s="115"/>
      <c r="E22" s="126">
        <v>43.5</v>
      </c>
      <c r="F22" s="65" t="s">
        <v>157</v>
      </c>
      <c r="G22" s="65" t="s">
        <v>93</v>
      </c>
      <c r="H22" s="85"/>
      <c r="J22" s="131" t="s">
        <v>140</v>
      </c>
      <c r="N22" s="130">
        <v>0.06</v>
      </c>
    </row>
    <row r="23" spans="2:15" ht="14.1" customHeight="1">
      <c r="C23" s="125" t="s">
        <v>10</v>
      </c>
      <c r="D23" s="115"/>
      <c r="E23" s="126">
        <v>2</v>
      </c>
      <c r="F23" s="65" t="s">
        <v>157</v>
      </c>
      <c r="G23" s="65" t="s">
        <v>93</v>
      </c>
      <c r="H23" s="85"/>
      <c r="J23" s="131" t="s">
        <v>141</v>
      </c>
      <c r="N23" s="130">
        <v>0.06</v>
      </c>
    </row>
    <row r="24" spans="2:15" ht="15.6" customHeight="1">
      <c r="C24" s="132" t="s">
        <v>92</v>
      </c>
      <c r="D24" s="88"/>
      <c r="E24" s="133">
        <v>3.9</v>
      </c>
      <c r="F24" s="89" t="s">
        <v>157</v>
      </c>
      <c r="G24" s="89" t="s">
        <v>93</v>
      </c>
      <c r="H24" s="90"/>
      <c r="J24" s="91"/>
      <c r="K24" s="89"/>
      <c r="L24" s="89"/>
      <c r="M24" s="89"/>
      <c r="N24" s="90"/>
    </row>
    <row r="25" spans="2:15" ht="14.1" customHeight="1"/>
    <row r="26" spans="2:15" ht="14.1" customHeight="1">
      <c r="C26" s="69" t="s">
        <v>94</v>
      </c>
      <c r="D26" s="69"/>
      <c r="E26" s="70"/>
      <c r="F26" s="70"/>
      <c r="G26" s="70"/>
      <c r="H26" s="71"/>
    </row>
    <row r="27" spans="2:15" ht="14.1" customHeight="1">
      <c r="C27" s="73" t="s">
        <v>81</v>
      </c>
      <c r="D27" s="134" t="s">
        <v>166</v>
      </c>
      <c r="E27" s="75"/>
      <c r="F27" s="75"/>
      <c r="G27" s="75"/>
      <c r="H27" s="135" t="s">
        <v>95</v>
      </c>
    </row>
    <row r="28" spans="2:15" ht="14.1" customHeight="1">
      <c r="C28" s="83" t="s">
        <v>81</v>
      </c>
      <c r="D28" s="136" t="s">
        <v>167</v>
      </c>
      <c r="H28" s="137">
        <v>25</v>
      </c>
    </row>
    <row r="29" spans="2:15" ht="14.1" customHeight="1">
      <c r="C29" s="87" t="s">
        <v>81</v>
      </c>
      <c r="D29" s="138" t="s">
        <v>168</v>
      </c>
      <c r="E29" s="89"/>
      <c r="F29" s="89"/>
      <c r="G29" s="89"/>
      <c r="H29" s="139">
        <v>30</v>
      </c>
    </row>
    <row r="30" spans="2:15" ht="9" customHeight="1">
      <c r="B30" s="89"/>
      <c r="C30" s="89"/>
      <c r="D30" s="140"/>
      <c r="E30" s="119"/>
      <c r="F30" s="119"/>
      <c r="G30" s="119"/>
      <c r="H30" s="119"/>
      <c r="I30" s="89"/>
      <c r="J30" s="89"/>
      <c r="K30" s="89"/>
      <c r="L30" s="89"/>
      <c r="M30" s="89"/>
      <c r="N30" s="89"/>
      <c r="O30" s="89"/>
    </row>
    <row r="31" spans="2:15" ht="14.1" customHeight="1">
      <c r="C31" s="141"/>
      <c r="D31" s="136"/>
      <c r="H31" s="142"/>
    </row>
    <row r="32" spans="2:15" ht="14.1" customHeight="1">
      <c r="C32" s="141"/>
      <c r="J32" s="143"/>
    </row>
    <row r="33" spans="2:17" ht="22.5" customHeight="1">
      <c r="B33" s="62" t="str">
        <f>Summary!B1</f>
        <v>Henderson Manufacturing</v>
      </c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</row>
    <row r="34" spans="2:17" ht="18.75" customHeight="1">
      <c r="B34" s="66" t="s">
        <v>112</v>
      </c>
      <c r="C34" s="66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</row>
    <row r="35" spans="2:17" ht="4.05" customHeight="1" thickBot="1">
      <c r="B35" s="67"/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2:17" ht="9" customHeight="1">
      <c r="C36" s="141"/>
      <c r="J36" s="143"/>
    </row>
    <row r="37" spans="2:17" ht="14.1" customHeight="1">
      <c r="C37" s="69" t="s">
        <v>169</v>
      </c>
      <c r="D37" s="69"/>
      <c r="E37" s="70"/>
      <c r="F37" s="70"/>
      <c r="G37" s="70"/>
      <c r="H37" s="70"/>
      <c r="I37" s="70"/>
      <c r="J37" s="144">
        <f>G6</f>
        <v>2025</v>
      </c>
      <c r="K37" s="144">
        <f>J37+1</f>
        <v>2026</v>
      </c>
      <c r="L37" s="144">
        <f>K37+1</f>
        <v>2027</v>
      </c>
      <c r="M37" s="144">
        <f>L37+1</f>
        <v>2028</v>
      </c>
      <c r="N37" s="145">
        <f>M37+1</f>
        <v>2029</v>
      </c>
      <c r="Q37" s="146"/>
    </row>
    <row r="38" spans="2:17" ht="6" customHeight="1">
      <c r="C38" s="147"/>
      <c r="D38" s="75"/>
      <c r="E38" s="75"/>
      <c r="F38" s="75"/>
      <c r="G38" s="75"/>
      <c r="J38" s="75"/>
      <c r="K38" s="75"/>
      <c r="L38" s="148"/>
      <c r="M38" s="75"/>
      <c r="N38" s="77"/>
    </row>
    <row r="39" spans="2:17" ht="14.1" customHeight="1">
      <c r="C39" s="149" t="s">
        <v>37</v>
      </c>
      <c r="J39" s="150"/>
      <c r="K39" s="150"/>
      <c r="L39" s="150"/>
      <c r="M39" s="150"/>
      <c r="N39" s="151"/>
      <c r="Q39" s="146"/>
    </row>
    <row r="40" spans="2:17" ht="14.1" customHeight="1">
      <c r="C40" s="149"/>
      <c r="D40" s="65" t="s">
        <v>175</v>
      </c>
      <c r="G40" s="65" t="s">
        <v>157</v>
      </c>
      <c r="J40" s="150">
        <v>0</v>
      </c>
      <c r="K40" s="150">
        <v>0</v>
      </c>
      <c r="L40" s="150">
        <v>0</v>
      </c>
      <c r="M40" s="150">
        <v>0</v>
      </c>
      <c r="N40" s="151">
        <v>0</v>
      </c>
    </row>
    <row r="41" spans="2:17" ht="6" customHeight="1">
      <c r="C41" s="78"/>
      <c r="L41" s="143"/>
      <c r="N41" s="85"/>
    </row>
    <row r="42" spans="2:17" ht="14.1" customHeight="1">
      <c r="C42" s="149" t="s">
        <v>47</v>
      </c>
      <c r="J42" s="150"/>
      <c r="K42" s="150"/>
      <c r="L42" s="150"/>
      <c r="M42" s="150"/>
      <c r="N42" s="151"/>
      <c r="Q42" s="146"/>
    </row>
    <row r="43" spans="2:17" ht="14.1" customHeight="1">
      <c r="C43" s="149"/>
      <c r="D43" s="65" t="s">
        <v>176</v>
      </c>
      <c r="G43" s="65" t="s">
        <v>157</v>
      </c>
      <c r="J43" s="150">
        <v>0</v>
      </c>
      <c r="K43" s="150">
        <v>0</v>
      </c>
      <c r="L43" s="150">
        <v>0</v>
      </c>
      <c r="M43" s="150">
        <v>0</v>
      </c>
      <c r="N43" s="151">
        <v>0</v>
      </c>
    </row>
    <row r="44" spans="2:17" ht="6" customHeight="1">
      <c r="C44" s="78"/>
      <c r="L44" s="143"/>
      <c r="N44" s="85"/>
    </row>
    <row r="45" spans="2:17" ht="14.1" customHeight="1">
      <c r="C45" s="149" t="s">
        <v>105</v>
      </c>
      <c r="G45" s="65" t="s">
        <v>157</v>
      </c>
      <c r="J45" s="150">
        <v>16</v>
      </c>
      <c r="K45" s="150">
        <v>17</v>
      </c>
      <c r="L45" s="150">
        <v>17.3</v>
      </c>
      <c r="M45" s="150">
        <v>17.5</v>
      </c>
      <c r="N45" s="151">
        <v>18</v>
      </c>
      <c r="Q45" s="146"/>
    </row>
    <row r="46" spans="2:17" ht="6" customHeight="1">
      <c r="C46" s="78"/>
      <c r="L46" s="143"/>
      <c r="N46" s="85"/>
    </row>
    <row r="47" spans="2:17" ht="14.25" customHeight="1">
      <c r="C47" s="149" t="s">
        <v>186</v>
      </c>
      <c r="L47" s="143"/>
      <c r="N47" s="85"/>
    </row>
    <row r="48" spans="2:17" ht="14.25" customHeight="1">
      <c r="C48" s="78"/>
      <c r="D48" s="65" t="s">
        <v>191</v>
      </c>
      <c r="G48" s="65" t="s">
        <v>157</v>
      </c>
      <c r="J48" s="150">
        <v>5</v>
      </c>
      <c r="K48" s="150">
        <v>5</v>
      </c>
      <c r="L48" s="150">
        <v>5</v>
      </c>
      <c r="M48" s="150">
        <v>5</v>
      </c>
      <c r="N48" s="151">
        <v>5</v>
      </c>
    </row>
    <row r="49" spans="2:15" ht="6" customHeight="1">
      <c r="C49" s="78"/>
      <c r="L49" s="143"/>
      <c r="N49" s="85"/>
    </row>
    <row r="50" spans="2:15" ht="14.25" customHeight="1">
      <c r="C50" s="149" t="s">
        <v>170</v>
      </c>
      <c r="L50" s="143"/>
      <c r="N50" s="85"/>
    </row>
    <row r="51" spans="2:15" ht="14.1" customHeight="1">
      <c r="C51" s="78"/>
      <c r="D51" s="65" t="s">
        <v>14</v>
      </c>
      <c r="G51" s="65" t="s">
        <v>171</v>
      </c>
      <c r="J51" s="152">
        <v>45</v>
      </c>
      <c r="K51" s="152">
        <v>40</v>
      </c>
      <c r="L51" s="152">
        <v>40</v>
      </c>
      <c r="M51" s="152">
        <v>40</v>
      </c>
      <c r="N51" s="153">
        <v>40</v>
      </c>
    </row>
    <row r="52" spans="2:15" ht="14.1" customHeight="1">
      <c r="C52" s="154"/>
      <c r="D52" s="65" t="s">
        <v>28</v>
      </c>
      <c r="G52" s="65" t="s">
        <v>171</v>
      </c>
      <c r="J52" s="152">
        <v>70</v>
      </c>
      <c r="K52" s="152">
        <v>65</v>
      </c>
      <c r="L52" s="152">
        <v>60</v>
      </c>
      <c r="M52" s="152">
        <v>60</v>
      </c>
      <c r="N52" s="153">
        <v>55</v>
      </c>
    </row>
    <row r="53" spans="2:15" ht="14.1" customHeight="1">
      <c r="C53" s="154"/>
      <c r="D53" s="65" t="s">
        <v>177</v>
      </c>
      <c r="G53" s="65" t="s">
        <v>171</v>
      </c>
      <c r="J53" s="152">
        <v>30</v>
      </c>
      <c r="K53" s="152">
        <v>30</v>
      </c>
      <c r="L53" s="152">
        <v>30</v>
      </c>
      <c r="M53" s="152">
        <v>30</v>
      </c>
      <c r="N53" s="153">
        <v>30</v>
      </c>
    </row>
    <row r="54" spans="2:15" ht="14.1" customHeight="1">
      <c r="C54" s="154"/>
      <c r="D54" s="65" t="s">
        <v>178</v>
      </c>
      <c r="G54" s="65" t="s">
        <v>171</v>
      </c>
      <c r="J54" s="152">
        <v>3</v>
      </c>
      <c r="K54" s="152">
        <v>3</v>
      </c>
      <c r="L54" s="152">
        <v>3</v>
      </c>
      <c r="M54" s="152">
        <v>3</v>
      </c>
      <c r="N54" s="153">
        <v>3</v>
      </c>
    </row>
    <row r="55" spans="2:15" ht="14.1" customHeight="1">
      <c r="C55" s="83"/>
      <c r="D55" s="65" t="s">
        <v>20</v>
      </c>
      <c r="G55" s="65" t="s">
        <v>171</v>
      </c>
      <c r="J55" s="152">
        <v>40</v>
      </c>
      <c r="K55" s="152">
        <v>40</v>
      </c>
      <c r="L55" s="152">
        <v>40</v>
      </c>
      <c r="M55" s="152">
        <v>40</v>
      </c>
      <c r="N55" s="153">
        <v>40</v>
      </c>
    </row>
    <row r="56" spans="2:15" ht="14.1" customHeight="1">
      <c r="C56" s="83"/>
      <c r="D56" s="65" t="s">
        <v>179</v>
      </c>
      <c r="G56" s="65" t="s">
        <v>171</v>
      </c>
      <c r="J56" s="152">
        <v>10</v>
      </c>
      <c r="K56" s="152">
        <v>10</v>
      </c>
      <c r="L56" s="152">
        <v>10</v>
      </c>
      <c r="M56" s="152">
        <v>10</v>
      </c>
      <c r="N56" s="153">
        <v>10</v>
      </c>
    </row>
    <row r="57" spans="2:15" ht="6" customHeight="1">
      <c r="C57" s="83"/>
      <c r="N57" s="85"/>
    </row>
    <row r="58" spans="2:15" ht="14.1" customHeight="1">
      <c r="C58" s="155" t="s">
        <v>172</v>
      </c>
      <c r="N58" s="85"/>
    </row>
    <row r="59" spans="2:15" ht="14.1" customHeight="1">
      <c r="C59" s="125"/>
      <c r="D59" s="65" t="s">
        <v>142</v>
      </c>
      <c r="G59" s="65" t="s">
        <v>157</v>
      </c>
      <c r="J59" s="150">
        <v>-25</v>
      </c>
      <c r="K59" s="150">
        <v>-25</v>
      </c>
      <c r="L59" s="150">
        <v>-25</v>
      </c>
      <c r="M59" s="150">
        <v>-25</v>
      </c>
      <c r="N59" s="151">
        <v>-25</v>
      </c>
    </row>
    <row r="60" spans="2:15" ht="14.1" customHeight="1">
      <c r="C60" s="83"/>
      <c r="D60" s="65" t="s">
        <v>126</v>
      </c>
      <c r="G60" s="65" t="s">
        <v>157</v>
      </c>
      <c r="J60" s="150">
        <v>0</v>
      </c>
      <c r="K60" s="150">
        <v>0</v>
      </c>
      <c r="L60" s="150">
        <v>0</v>
      </c>
      <c r="M60" s="150">
        <v>0</v>
      </c>
      <c r="N60" s="151">
        <v>0</v>
      </c>
    </row>
    <row r="61" spans="2:15" ht="6" customHeight="1">
      <c r="C61" s="87"/>
      <c r="D61" s="89"/>
      <c r="E61" s="89"/>
      <c r="F61" s="89"/>
      <c r="G61" s="89"/>
      <c r="H61" s="89"/>
      <c r="I61" s="89"/>
      <c r="J61" s="156"/>
      <c r="K61" s="156"/>
      <c r="L61" s="156"/>
      <c r="M61" s="156"/>
      <c r="N61" s="157"/>
    </row>
    <row r="62" spans="2:15" ht="9" customHeight="1">
      <c r="B62" s="89"/>
      <c r="C62" s="89"/>
      <c r="D62" s="140"/>
      <c r="E62" s="119"/>
      <c r="F62" s="119"/>
      <c r="G62" s="119"/>
      <c r="H62" s="119"/>
      <c r="I62" s="89"/>
      <c r="J62" s="89"/>
      <c r="K62" s="89"/>
      <c r="L62" s="89"/>
      <c r="M62" s="89"/>
      <c r="N62" s="89"/>
      <c r="O62" s="89"/>
    </row>
    <row r="63" spans="2:15" ht="12.75" customHeight="1">
      <c r="D63" s="158"/>
      <c r="E63" s="64"/>
      <c r="F63" s="64"/>
      <c r="G63" s="64"/>
      <c r="H63" s="64"/>
    </row>
    <row r="64" spans="2:15">
      <c r="D64" s="143"/>
    </row>
    <row r="65" spans="4:4">
      <c r="D65" s="143"/>
    </row>
    <row r="81" s="65" customFormat="1"/>
    <row r="82" s="65" customFormat="1"/>
    <row r="83" s="65" customFormat="1"/>
    <row r="84" s="65" customFormat="1"/>
    <row r="85" s="65" customFormat="1"/>
  </sheetData>
  <sheetProtection formatCells="0" formatColumns="0" formatRows="0" insertColumns="0" insertRows="0"/>
  <phoneticPr fontId="0" type="noConversion"/>
  <conditionalFormatting sqref="J336:N340">
    <cfRule type="cellIs" dxfId="1" priority="1" stopIfTrue="1" operator="greaterThan">
      <formula>330</formula>
    </cfRule>
  </conditionalFormatting>
  <printOptions horizontalCentered="1"/>
  <pageMargins left="0.23622047244094499" right="0.23622047244094499" top="0.35433070866141703" bottom="0.511811023622047" header="0.23622047244094499" footer="0.23622047244094499"/>
  <pageSetup scale="95" orientation="landscape" r:id="rId1"/>
  <headerFooter alignWithMargins="0">
    <oddFooter>&amp;L&amp;"Calibri,Bold"&amp;9Financial Modeling Institute
&amp;"Calibri,Regular"C:\My Documents\Henderson Model.xls&amp;C&amp;"Calibri,Regular"&amp;9Page &amp;P of &amp;N&amp;R&amp;"Calibri,Regular"&amp;9&amp;D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42"/>
  <sheetViews>
    <sheetView showGridLines="0" zoomScale="110" zoomScaleNormal="110" zoomScaleSheetLayoutView="80" workbookViewId="0"/>
  </sheetViews>
  <sheetFormatPr defaultColWidth="10.5546875" defaultRowHeight="13.8"/>
  <cols>
    <col min="1" max="1" width="2.5546875" style="162" customWidth="1"/>
    <col min="2" max="2" width="1.5546875" style="162" customWidth="1"/>
    <col min="3" max="3" width="18.5546875" style="162" customWidth="1"/>
    <col min="4" max="4" width="11.5546875" style="186" customWidth="1"/>
    <col min="5" max="5" width="1.5546875" style="186" customWidth="1"/>
    <col min="6" max="6" width="6.77734375" style="162" customWidth="1"/>
    <col min="7" max="11" width="12.77734375" style="162" customWidth="1"/>
    <col min="12" max="12" width="13.5546875" style="162" customWidth="1"/>
    <col min="13" max="13" width="10.44140625" style="162" customWidth="1"/>
    <col min="14" max="17" width="13.5546875" style="162" customWidth="1"/>
    <col min="18" max="16384" width="10.5546875" style="162"/>
  </cols>
  <sheetData>
    <row r="1" spans="1:11" s="159" customFormat="1" ht="22.8" customHeight="1">
      <c r="B1" s="160" t="str">
        <f>Assumptions!B1</f>
        <v>Henderson Manufacturing</v>
      </c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8">
      <c r="B2" s="163" t="s">
        <v>59</v>
      </c>
      <c r="C2" s="163"/>
      <c r="D2" s="163"/>
      <c r="E2" s="163"/>
      <c r="F2" s="163"/>
      <c r="G2" s="163"/>
      <c r="H2" s="163"/>
      <c r="I2" s="163"/>
      <c r="J2" s="163"/>
      <c r="K2" s="163"/>
    </row>
    <row r="3" spans="1:11" ht="6" customHeight="1" thickBot="1">
      <c r="B3" s="164"/>
      <c r="C3" s="164"/>
      <c r="D3" s="165"/>
      <c r="E3" s="165"/>
      <c r="F3" s="164"/>
      <c r="G3" s="164"/>
      <c r="H3" s="164"/>
      <c r="I3" s="164"/>
      <c r="J3" s="164"/>
      <c r="K3" s="164"/>
    </row>
    <row r="4" spans="1:11" ht="12.75" customHeight="1">
      <c r="C4" s="166"/>
      <c r="D4" s="167"/>
      <c r="E4" s="167"/>
      <c r="F4" s="166"/>
    </row>
    <row r="5" spans="1:11" ht="6" customHeight="1">
      <c r="B5" s="168"/>
      <c r="C5" s="169"/>
      <c r="D5" s="170"/>
      <c r="E5" s="171"/>
      <c r="G5" s="172"/>
      <c r="H5" s="172"/>
      <c r="I5" s="172"/>
      <c r="J5" s="172"/>
      <c r="K5" s="172"/>
    </row>
    <row r="6" spans="1:11" ht="16.2" customHeight="1">
      <c r="B6" s="173" t="s">
        <v>103</v>
      </c>
      <c r="C6" s="174"/>
      <c r="D6" s="175">
        <v>1</v>
      </c>
      <c r="E6" s="176"/>
      <c r="F6" s="174"/>
      <c r="G6" s="177">
        <f>Assumptions!G6</f>
        <v>2025</v>
      </c>
      <c r="H6" s="177">
        <f>G6+1</f>
        <v>2026</v>
      </c>
      <c r="I6" s="177">
        <f>H6+1</f>
        <v>2027</v>
      </c>
      <c r="J6" s="177">
        <f>I6+1</f>
        <v>2028</v>
      </c>
      <c r="K6" s="177">
        <f>J6+1</f>
        <v>2029</v>
      </c>
    </row>
    <row r="7" spans="1:11" ht="6" customHeight="1">
      <c r="B7" s="178"/>
      <c r="C7" s="179"/>
      <c r="D7" s="180"/>
      <c r="E7" s="181"/>
      <c r="F7" s="174"/>
      <c r="G7" s="177"/>
      <c r="H7" s="177"/>
      <c r="I7" s="182"/>
      <c r="J7" s="182"/>
      <c r="K7" s="177"/>
    </row>
    <row r="8" spans="1:11">
      <c r="B8" s="174"/>
      <c r="C8" s="174"/>
      <c r="D8" s="183"/>
      <c r="E8" s="183"/>
      <c r="F8" s="174"/>
      <c r="G8" s="177"/>
      <c r="H8" s="177"/>
      <c r="I8" s="182"/>
      <c r="J8" s="182"/>
      <c r="K8" s="177"/>
    </row>
    <row r="9" spans="1:11">
      <c r="B9" s="174"/>
      <c r="C9" s="174"/>
      <c r="D9" s="183"/>
      <c r="E9" s="183"/>
      <c r="F9" s="174"/>
      <c r="G9" s="177"/>
      <c r="H9" s="177"/>
      <c r="I9" s="182"/>
      <c r="J9" s="182"/>
      <c r="K9" s="177"/>
    </row>
    <row r="10" spans="1:11" ht="15.6">
      <c r="A10" s="184"/>
      <c r="B10" s="185" t="s">
        <v>96</v>
      </c>
    </row>
    <row r="11" spans="1:11" ht="12.75" customHeight="1"/>
    <row r="12" spans="1:11" ht="16.2" customHeight="1">
      <c r="B12" s="187" t="s">
        <v>102</v>
      </c>
      <c r="D12" s="188"/>
      <c r="E12" s="188"/>
      <c r="G12" s="189">
        <f>CHOOSE($D$6,G14,G15,G16)</f>
        <v>0.02</v>
      </c>
      <c r="H12" s="190">
        <f>CHOOSE($D$6,H14,H15,H16)</f>
        <v>0.02</v>
      </c>
      <c r="I12" s="190">
        <f>CHOOSE($D$6,I14,I15,I16)</f>
        <v>0.02</v>
      </c>
      <c r="J12" s="190">
        <f>CHOOSE($D$6,J14,J15,J16)</f>
        <v>2.5000000000000001E-2</v>
      </c>
      <c r="K12" s="191">
        <f>CHOOSE($D$6,K14,K15,K16)</f>
        <v>2.5000000000000001E-2</v>
      </c>
    </row>
    <row r="13" spans="1:11" ht="4.3499999999999996" customHeight="1">
      <c r="B13" s="192"/>
      <c r="D13" s="188"/>
      <c r="E13" s="188"/>
      <c r="G13" s="193"/>
      <c r="H13" s="194"/>
      <c r="I13" s="194"/>
      <c r="J13" s="194"/>
      <c r="K13" s="194"/>
    </row>
    <row r="14" spans="1:11">
      <c r="B14" s="192"/>
      <c r="C14" s="162" t="str">
        <f>Assumptions!C13</f>
        <v>Base Case</v>
      </c>
      <c r="D14" s="188"/>
      <c r="E14" s="188"/>
      <c r="G14" s="195">
        <v>0.02</v>
      </c>
      <c r="H14" s="196">
        <v>0.02</v>
      </c>
      <c r="I14" s="196">
        <v>0.02</v>
      </c>
      <c r="J14" s="196">
        <v>2.5000000000000001E-2</v>
      </c>
      <c r="K14" s="197">
        <v>2.5000000000000001E-2</v>
      </c>
    </row>
    <row r="15" spans="1:11">
      <c r="B15" s="192"/>
      <c r="C15" s="162" t="str">
        <f>Assumptions!C14</f>
        <v>Best Case</v>
      </c>
      <c r="D15" s="188"/>
      <c r="E15" s="188"/>
      <c r="G15" s="198">
        <v>1.7999999999999999E-2</v>
      </c>
      <c r="H15" s="199">
        <v>1.7999999999999999E-2</v>
      </c>
      <c r="I15" s="199">
        <v>1.7999999999999999E-2</v>
      </c>
      <c r="J15" s="199">
        <v>0.02</v>
      </c>
      <c r="K15" s="200">
        <v>0.02</v>
      </c>
    </row>
    <row r="16" spans="1:11">
      <c r="B16" s="192"/>
      <c r="C16" s="162" t="str">
        <f>Assumptions!C15</f>
        <v>Worst Case</v>
      </c>
      <c r="D16" s="188"/>
      <c r="E16" s="188"/>
      <c r="G16" s="201">
        <v>2.5000000000000001E-2</v>
      </c>
      <c r="H16" s="202">
        <v>2.5000000000000001E-2</v>
      </c>
      <c r="I16" s="202">
        <v>2.5000000000000001E-2</v>
      </c>
      <c r="J16" s="202">
        <v>2.5000000000000001E-2</v>
      </c>
      <c r="K16" s="203">
        <v>2.5000000000000001E-2</v>
      </c>
    </row>
    <row r="17" spans="1:13">
      <c r="C17" s="204"/>
      <c r="D17" s="205"/>
      <c r="E17" s="205"/>
      <c r="G17" s="206"/>
      <c r="H17" s="206"/>
      <c r="I17" s="206"/>
      <c r="J17" s="206"/>
      <c r="K17" s="207"/>
    </row>
    <row r="18" spans="1:13">
      <c r="B18" s="208"/>
      <c r="C18" s="208"/>
      <c r="D18" s="209"/>
      <c r="E18" s="209"/>
      <c r="F18" s="208"/>
      <c r="G18" s="208"/>
      <c r="H18" s="208"/>
      <c r="I18" s="208"/>
      <c r="J18" s="208"/>
      <c r="K18" s="208"/>
    </row>
    <row r="20" spans="1:13" ht="12.75" customHeight="1"/>
    <row r="21" spans="1:13" ht="12.75" customHeight="1">
      <c r="B21" s="185" t="s">
        <v>113</v>
      </c>
    </row>
    <row r="22" spans="1:13" ht="12.75" customHeight="1"/>
    <row r="23" spans="1:13" s="210" customFormat="1" ht="16.2" customHeight="1">
      <c r="B23" s="187" t="s">
        <v>182</v>
      </c>
      <c r="D23" s="175"/>
      <c r="E23" s="175"/>
      <c r="G23" s="211">
        <f>CHOOSE($D6,G25,G26,G27)</f>
        <v>800</v>
      </c>
      <c r="H23" s="212">
        <f>CHOOSE($D6,H25,H26,H27)</f>
        <v>725</v>
      </c>
      <c r="I23" s="212">
        <f>CHOOSE($D6,I25,I26,I27)</f>
        <v>825</v>
      </c>
      <c r="J23" s="212">
        <f>CHOOSE($D6,J25,J26,J27)</f>
        <v>800</v>
      </c>
      <c r="K23" s="213">
        <f>CHOOSE($D6,K25,K26,K27)</f>
        <v>750</v>
      </c>
    </row>
    <row r="24" spans="1:13" ht="4.3499999999999996" customHeight="1">
      <c r="B24" s="214"/>
      <c r="D24" s="188"/>
      <c r="E24" s="188"/>
      <c r="G24" s="215"/>
      <c r="H24" s="215"/>
      <c r="I24" s="215"/>
      <c r="J24" s="215"/>
      <c r="K24" s="215"/>
    </row>
    <row r="25" spans="1:13">
      <c r="C25" s="204" t="str">
        <f>Assumptions!C13</f>
        <v>Base Case</v>
      </c>
      <c r="D25" s="205"/>
      <c r="E25" s="205"/>
      <c r="G25" s="216">
        <v>800</v>
      </c>
      <c r="H25" s="217">
        <v>725</v>
      </c>
      <c r="I25" s="217">
        <v>825</v>
      </c>
      <c r="J25" s="217">
        <v>800</v>
      </c>
      <c r="K25" s="218">
        <v>750</v>
      </c>
      <c r="L25" s="219"/>
      <c r="M25" s="220"/>
    </row>
    <row r="26" spans="1:13">
      <c r="A26" s="221"/>
      <c r="C26" s="204" t="str">
        <f>CONCATENATE(,Assumptions!C14,": ",TEXT(Assumptions!E14,"+0.0%;-0.0%"))</f>
        <v>Best Case: +4.0%</v>
      </c>
      <c r="D26" s="205"/>
      <c r="E26" s="205"/>
      <c r="G26" s="222">
        <f>G$25*(1+Assumptions!$E$14)</f>
        <v>832</v>
      </c>
      <c r="H26" s="223">
        <f>H$25*(1+Assumptions!$E$14)</f>
        <v>754</v>
      </c>
      <c r="I26" s="223">
        <f>I$25*(1+Assumptions!$E$14)</f>
        <v>858</v>
      </c>
      <c r="J26" s="223">
        <f>J$25*(1+Assumptions!$E$14)</f>
        <v>832</v>
      </c>
      <c r="K26" s="224">
        <f>K$25*(1+Assumptions!$E$14)</f>
        <v>780</v>
      </c>
      <c r="L26" s="219"/>
      <c r="M26" s="220"/>
    </row>
    <row r="27" spans="1:13">
      <c r="A27" s="221"/>
      <c r="C27" s="204" t="str">
        <f>CONCATENATE(,Assumptions!C15,": ",TEXT(Assumptions!E15,"+0.0%;-0.0%"))</f>
        <v>Worst Case: -4.0%</v>
      </c>
      <c r="D27" s="205"/>
      <c r="E27" s="205"/>
      <c r="G27" s="225">
        <f>G$25*(1+Assumptions!$E$15)</f>
        <v>768</v>
      </c>
      <c r="H27" s="226">
        <f>H$25*(1+Assumptions!$E$15)</f>
        <v>696</v>
      </c>
      <c r="I27" s="226">
        <f>I$25*(1+Assumptions!$E$15)</f>
        <v>792</v>
      </c>
      <c r="J27" s="226">
        <f>J$25*(1+Assumptions!$E$15)</f>
        <v>768</v>
      </c>
      <c r="K27" s="227">
        <f>K$25*(1+Assumptions!$E$15)</f>
        <v>720</v>
      </c>
      <c r="L27" s="219"/>
      <c r="M27" s="220"/>
    </row>
    <row r="28" spans="1:13">
      <c r="C28" s="228"/>
      <c r="D28" s="205"/>
      <c r="E28" s="205"/>
      <c r="G28" s="229"/>
      <c r="H28" s="229"/>
      <c r="I28" s="229"/>
      <c r="J28" s="229"/>
      <c r="K28" s="230"/>
      <c r="L28" s="219"/>
    </row>
    <row r="29" spans="1:13">
      <c r="C29" s="228"/>
      <c r="D29" s="205"/>
      <c r="E29" s="205"/>
      <c r="G29" s="229"/>
      <c r="H29" s="229"/>
      <c r="I29" s="229"/>
      <c r="J29" s="229"/>
      <c r="K29" s="230"/>
      <c r="L29" s="219"/>
    </row>
    <row r="30" spans="1:13" ht="16.2" customHeight="1">
      <c r="B30" s="187" t="s">
        <v>114</v>
      </c>
      <c r="D30" s="188"/>
      <c r="E30" s="188"/>
      <c r="G30" s="189">
        <f>CHOOSE($D$6,G32,G33,G34)</f>
        <v>0.05</v>
      </c>
      <c r="H30" s="190">
        <f>CHOOSE($D$6,H32,H33,H34)</f>
        <v>0.04</v>
      </c>
      <c r="I30" s="190">
        <f>CHOOSE($D$6,I32,I33,I34)</f>
        <v>0.04</v>
      </c>
      <c r="J30" s="190">
        <f>CHOOSE($D$6,J32,J33,J34)</f>
        <v>0.04</v>
      </c>
      <c r="K30" s="191">
        <f>CHOOSE($D$6,K32,K33,K34)</f>
        <v>0.04</v>
      </c>
    </row>
    <row r="31" spans="1:13" ht="4.3499999999999996" customHeight="1">
      <c r="B31" s="192"/>
      <c r="D31" s="188"/>
      <c r="E31" s="188"/>
      <c r="G31" s="193"/>
      <c r="H31" s="194"/>
      <c r="I31" s="194"/>
      <c r="J31" s="194"/>
      <c r="K31" s="194"/>
    </row>
    <row r="32" spans="1:13">
      <c r="B32" s="192"/>
      <c r="C32" s="162" t="str">
        <f>C14</f>
        <v>Base Case</v>
      </c>
      <c r="D32" s="188"/>
      <c r="E32" s="188"/>
      <c r="G32" s="195">
        <v>0.05</v>
      </c>
      <c r="H32" s="196">
        <v>0.04</v>
      </c>
      <c r="I32" s="196">
        <v>0.04</v>
      </c>
      <c r="J32" s="196">
        <v>0.04</v>
      </c>
      <c r="K32" s="197">
        <v>0.04</v>
      </c>
    </row>
    <row r="33" spans="2:12">
      <c r="B33" s="192"/>
      <c r="C33" s="162" t="str">
        <f>C15</f>
        <v>Best Case</v>
      </c>
      <c r="D33" s="188"/>
      <c r="E33" s="188"/>
      <c r="G33" s="198">
        <v>0.05</v>
      </c>
      <c r="H33" s="199">
        <v>0.04</v>
      </c>
      <c r="I33" s="199">
        <v>0.05</v>
      </c>
      <c r="J33" s="199">
        <v>0.05</v>
      </c>
      <c r="K33" s="200">
        <v>0.04</v>
      </c>
    </row>
    <row r="34" spans="2:12">
      <c r="B34" s="192"/>
      <c r="C34" s="162" t="str">
        <f>C16</f>
        <v>Worst Case</v>
      </c>
      <c r="D34" s="188"/>
      <c r="E34" s="188"/>
      <c r="G34" s="201">
        <v>0.04</v>
      </c>
      <c r="H34" s="202">
        <v>0.04</v>
      </c>
      <c r="I34" s="202">
        <v>0.03</v>
      </c>
      <c r="J34" s="202">
        <v>0.03</v>
      </c>
      <c r="K34" s="203">
        <v>0.02</v>
      </c>
    </row>
    <row r="35" spans="2:12">
      <c r="C35" s="228"/>
      <c r="D35" s="205"/>
      <c r="E35" s="205"/>
      <c r="G35" s="229"/>
      <c r="H35" s="229"/>
      <c r="I35" s="229"/>
      <c r="J35" s="229"/>
      <c r="K35" s="230"/>
      <c r="L35" s="219"/>
    </row>
    <row r="36" spans="2:12">
      <c r="B36" s="231"/>
      <c r="C36" s="231"/>
      <c r="D36" s="232"/>
      <c r="E36" s="232"/>
      <c r="F36" s="231"/>
      <c r="G36" s="231"/>
      <c r="H36" s="231"/>
      <c r="I36" s="231"/>
      <c r="J36" s="231"/>
      <c r="K36" s="231"/>
    </row>
    <row r="39" spans="2:12">
      <c r="C39" s="174"/>
      <c r="D39" s="188"/>
      <c r="E39" s="188"/>
      <c r="G39" s="233"/>
    </row>
    <row r="40" spans="2:12">
      <c r="D40" s="205"/>
      <c r="E40" s="205"/>
      <c r="H40" s="220"/>
    </row>
    <row r="41" spans="2:12">
      <c r="D41" s="205"/>
      <c r="E41" s="205"/>
    </row>
    <row r="42" spans="2:12">
      <c r="G42" s="233"/>
    </row>
  </sheetData>
  <sheetProtection formatCells="0" formatColumns="0" formatRows="0" insertColumns="0" insertRows="0"/>
  <phoneticPr fontId="0" type="noConversion"/>
  <conditionalFormatting sqref="J348:M352">
    <cfRule type="cellIs" dxfId="0" priority="1" stopIfTrue="1" operator="greaterThan">
      <formula>330</formula>
    </cfRule>
  </conditionalFormatting>
  <printOptions horizontalCentered="1"/>
  <pageMargins left="0.23622047244094499" right="0.23622047244094499" top="0.35433070866141703" bottom="0.511811023622047" header="0.23622047244094499" footer="0.23622047244094499"/>
  <pageSetup scale="95" orientation="landscape" r:id="rId1"/>
  <headerFooter alignWithMargins="0">
    <oddFooter>&amp;L&amp;"Calibri,Bold"&amp;9Financial Modeling Institute
&amp;"Calibri,Regular"C:\My Documents\Henderson Model.xls&amp;C&amp;"Calibri,Regular"&amp;9Page &amp;P of &amp;N&amp;R&amp;"Calibri,Regular"&amp;9&amp;D 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49" r:id="rId4" name="Drop Down 57">
              <controlPr defaultSize="0" autoLine="0" autoPict="0">
                <anchor moveWithCells="1">
                  <from>
                    <xdr:col>2</xdr:col>
                    <xdr:colOff>1158240</xdr:colOff>
                    <xdr:row>4</xdr:row>
                    <xdr:rowOff>53340</xdr:rowOff>
                  </from>
                  <to>
                    <xdr:col>4</xdr:col>
                    <xdr:colOff>53340</xdr:colOff>
                    <xdr:row>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II341"/>
  <sheetViews>
    <sheetView showGridLines="0" zoomScale="110" zoomScaleNormal="110" zoomScaleSheetLayoutView="90" workbookViewId="0"/>
  </sheetViews>
  <sheetFormatPr defaultColWidth="9.44140625" defaultRowHeight="13.8"/>
  <cols>
    <col min="1" max="1" width="4.6640625" style="65" customWidth="1"/>
    <col min="2" max="2" width="1.77734375" style="65" customWidth="1"/>
    <col min="3" max="3" width="2.44140625" style="65" customWidth="1"/>
    <col min="4" max="4" width="11.44140625" style="65" customWidth="1"/>
    <col min="5" max="5" width="12.5546875" style="65" customWidth="1"/>
    <col min="6" max="6" width="10.44140625" style="245" customWidth="1"/>
    <col min="7" max="7" width="1.77734375" style="65" customWidth="1"/>
    <col min="8" max="15" width="10.77734375" style="65" customWidth="1"/>
    <col min="16" max="16384" width="9.44140625" style="65"/>
  </cols>
  <sheetData>
    <row r="1" spans="1:15" ht="12.75" customHeight="1">
      <c r="A1" s="234"/>
      <c r="B1" s="63"/>
      <c r="C1" s="64"/>
      <c r="D1" s="64"/>
      <c r="E1" s="64"/>
      <c r="F1" s="235"/>
      <c r="G1" s="64"/>
      <c r="H1" s="64"/>
      <c r="I1" s="64"/>
      <c r="J1" s="64"/>
      <c r="K1" s="64"/>
      <c r="L1" s="64"/>
      <c r="M1" s="64"/>
      <c r="N1" s="64"/>
      <c r="O1" s="236" t="str">
        <f>"CURRENTLY RUNNING: "&amp;UPPER(CHOOSE(Scenarios!$D$6,Scenarios!C14,Scenarios!C15,Scenarios!C16))&amp;" SCENARIO"</f>
        <v>CURRENTLY RUNNING: BASE CASE SCENARIO</v>
      </c>
    </row>
    <row r="2" spans="1:15" ht="23.4">
      <c r="A2" s="237"/>
      <c r="B2" s="62" t="str">
        <f>Scenarios!B1</f>
        <v>Henderson Manufacturing</v>
      </c>
      <c r="C2" s="64"/>
      <c r="D2" s="64"/>
      <c r="E2" s="64"/>
      <c r="F2" s="235"/>
      <c r="G2" s="64"/>
      <c r="H2" s="64"/>
      <c r="I2" s="64"/>
      <c r="J2" s="64"/>
      <c r="K2" s="64"/>
      <c r="L2" s="64"/>
      <c r="M2" s="64"/>
      <c r="N2" s="64"/>
      <c r="O2" s="64"/>
    </row>
    <row r="3" spans="1:15" ht="18">
      <c r="A3" s="238"/>
      <c r="B3" s="239" t="s">
        <v>104</v>
      </c>
      <c r="C3" s="240"/>
      <c r="D3" s="240"/>
      <c r="E3" s="240"/>
      <c r="F3" s="241"/>
      <c r="G3" s="240"/>
      <c r="H3" s="240"/>
      <c r="I3" s="240"/>
      <c r="J3" s="240"/>
      <c r="K3" s="240"/>
      <c r="L3" s="240"/>
      <c r="M3" s="240"/>
      <c r="N3" s="240"/>
      <c r="O3" s="240"/>
    </row>
    <row r="4" spans="1:15" ht="6" customHeight="1" thickBot="1">
      <c r="A4" s="238"/>
      <c r="B4" s="242"/>
      <c r="C4" s="243"/>
      <c r="D4" s="243"/>
      <c r="E4" s="243"/>
      <c r="F4" s="244"/>
      <c r="G4" s="243"/>
      <c r="H4" s="243"/>
      <c r="I4" s="243"/>
      <c r="J4" s="243"/>
      <c r="K4" s="243"/>
      <c r="L4" s="243"/>
      <c r="M4" s="243"/>
      <c r="N4" s="243"/>
      <c r="O4" s="243"/>
    </row>
    <row r="5" spans="1:15" ht="12.75" customHeight="1">
      <c r="A5" s="239"/>
      <c r="B5" s="240"/>
      <c r="C5" s="240"/>
      <c r="D5" s="240"/>
      <c r="E5" s="240"/>
      <c r="F5" s="241"/>
      <c r="G5" s="240"/>
      <c r="H5" s="240"/>
      <c r="I5" s="240"/>
      <c r="J5" s="240"/>
      <c r="K5" s="240"/>
      <c r="L5" s="240"/>
      <c r="M5" s="240"/>
      <c r="N5" s="240"/>
      <c r="O5" s="240"/>
    </row>
    <row r="6" spans="1:15">
      <c r="G6" s="246"/>
      <c r="K6" s="247" t="s">
        <v>2</v>
      </c>
      <c r="L6" s="119"/>
      <c r="M6" s="119"/>
      <c r="N6" s="119"/>
      <c r="O6" s="119"/>
    </row>
    <row r="7" spans="1:15">
      <c r="G7" s="43"/>
      <c r="H7" s="248">
        <f>I7-1</f>
        <v>2022</v>
      </c>
      <c r="I7" s="248">
        <f>J7-1</f>
        <v>2023</v>
      </c>
      <c r="J7" s="248">
        <f>K7-1</f>
        <v>2024</v>
      </c>
      <c r="K7" s="43">
        <f>Scenarios!G6</f>
        <v>2025</v>
      </c>
      <c r="L7" s="43">
        <f>Scenarios!H6</f>
        <v>2026</v>
      </c>
      <c r="M7" s="43">
        <f>Scenarios!I6</f>
        <v>2027</v>
      </c>
      <c r="N7" s="43">
        <f>Scenarios!J6</f>
        <v>2028</v>
      </c>
      <c r="O7" s="43">
        <f>Scenarios!K6</f>
        <v>2029</v>
      </c>
    </row>
    <row r="8" spans="1:15" ht="12.75" customHeight="1">
      <c r="H8" s="249"/>
      <c r="I8" s="249"/>
      <c r="J8" s="249"/>
    </row>
    <row r="9" spans="1:15">
      <c r="B9" s="250" t="s">
        <v>1</v>
      </c>
      <c r="F9" s="251"/>
      <c r="H9" s="249"/>
      <c r="I9" s="249"/>
      <c r="J9" s="249"/>
      <c r="K9" s="194"/>
    </row>
    <row r="10" spans="1:15">
      <c r="C10" s="84" t="s">
        <v>64</v>
      </c>
      <c r="F10" s="252" t="s">
        <v>183</v>
      </c>
      <c r="H10" s="253"/>
      <c r="I10" s="253"/>
      <c r="J10" s="254">
        <v>694.44</v>
      </c>
      <c r="K10" s="255">
        <f>Scenarios!G23</f>
        <v>800</v>
      </c>
      <c r="L10" s="255">
        <f>Scenarios!H23</f>
        <v>725</v>
      </c>
      <c r="M10" s="255">
        <f>Scenarios!I23</f>
        <v>825</v>
      </c>
      <c r="N10" s="255">
        <f>Scenarios!J23</f>
        <v>800</v>
      </c>
      <c r="O10" s="255">
        <f>Scenarios!K23</f>
        <v>750</v>
      </c>
    </row>
    <row r="11" spans="1:15">
      <c r="C11" s="65" t="s">
        <v>102</v>
      </c>
      <c r="F11" s="251" t="s">
        <v>115</v>
      </c>
      <c r="H11" s="256"/>
      <c r="I11" s="257"/>
      <c r="J11" s="257"/>
      <c r="K11" s="258">
        <f>Scenarios!G12</f>
        <v>0.02</v>
      </c>
      <c r="L11" s="258">
        <f>Scenarios!H12</f>
        <v>0.02</v>
      </c>
      <c r="M11" s="258">
        <f>Scenarios!I12</f>
        <v>0.02</v>
      </c>
      <c r="N11" s="258">
        <f>Scenarios!J12</f>
        <v>2.5000000000000001E-2</v>
      </c>
      <c r="O11" s="258">
        <f>Scenarios!K12</f>
        <v>2.5000000000000001E-2</v>
      </c>
    </row>
    <row r="12" spans="1:15">
      <c r="C12" s="115" t="s">
        <v>52</v>
      </c>
      <c r="F12" s="252" t="s">
        <v>183</v>
      </c>
      <c r="H12" s="259"/>
      <c r="I12" s="259"/>
      <c r="J12" s="260">
        <v>100</v>
      </c>
      <c r="K12" s="261">
        <f>J12*(1+K$11)</f>
        <v>102</v>
      </c>
      <c r="L12" s="261">
        <f>K12*(1+L$11)</f>
        <v>104.04</v>
      </c>
      <c r="M12" s="261">
        <f>L12*(1+M$11)</f>
        <v>106.1208</v>
      </c>
      <c r="N12" s="261">
        <f>M12*(1+N$11)</f>
        <v>108.77381999999999</v>
      </c>
      <c r="O12" s="261">
        <f>N12*(1+O$11)</f>
        <v>111.49316549999998</v>
      </c>
    </row>
    <row r="13" spans="1:15">
      <c r="C13" s="262" t="s">
        <v>66</v>
      </c>
      <c r="F13" s="263" t="s">
        <v>183</v>
      </c>
      <c r="H13" s="264"/>
      <c r="I13" s="264"/>
      <c r="J13" s="265">
        <f t="shared" ref="J13:O13" si="0">J10-J12</f>
        <v>594.44000000000005</v>
      </c>
      <c r="K13" s="265">
        <f t="shared" si="0"/>
        <v>698</v>
      </c>
      <c r="L13" s="265">
        <f t="shared" si="0"/>
        <v>620.96</v>
      </c>
      <c r="M13" s="265">
        <f t="shared" si="0"/>
        <v>718.87919999999997</v>
      </c>
      <c r="N13" s="265">
        <f t="shared" si="0"/>
        <v>691.22618</v>
      </c>
      <c r="O13" s="265">
        <f t="shared" si="0"/>
        <v>638.50683449999997</v>
      </c>
    </row>
    <row r="14" spans="1:15">
      <c r="B14" s="266"/>
      <c r="C14" s="267"/>
      <c r="D14" s="266"/>
      <c r="E14" s="266"/>
      <c r="F14" s="268"/>
      <c r="G14" s="266"/>
      <c r="H14" s="269"/>
      <c r="I14" s="269"/>
      <c r="J14" s="269"/>
      <c r="K14" s="270"/>
      <c r="L14" s="270"/>
      <c r="M14" s="270"/>
      <c r="N14" s="270"/>
      <c r="O14" s="270"/>
    </row>
    <row r="15" spans="1:15">
      <c r="C15" s="250"/>
      <c r="F15" s="263"/>
      <c r="H15" s="271"/>
      <c r="I15" s="271"/>
      <c r="J15" s="271"/>
      <c r="K15" s="272"/>
      <c r="L15" s="272"/>
      <c r="M15" s="272"/>
      <c r="N15" s="272"/>
      <c r="O15" s="272"/>
    </row>
    <row r="16" spans="1:15">
      <c r="B16" s="262" t="s">
        <v>116</v>
      </c>
      <c r="F16" s="251"/>
    </row>
    <row r="17" spans="1:15">
      <c r="B17" s="262"/>
      <c r="C17" s="65" t="s">
        <v>174</v>
      </c>
      <c r="F17" s="251" t="s">
        <v>78</v>
      </c>
      <c r="H17" s="254"/>
      <c r="I17" s="254"/>
      <c r="J17" s="254"/>
      <c r="K17" s="273">
        <f>Assumptions!N11</f>
        <v>420</v>
      </c>
      <c r="L17" s="274">
        <f>K17</f>
        <v>420</v>
      </c>
      <c r="M17" s="274">
        <f>L17</f>
        <v>420</v>
      </c>
      <c r="N17" s="274">
        <f>M17</f>
        <v>420</v>
      </c>
      <c r="O17" s="274">
        <f>N17</f>
        <v>420</v>
      </c>
    </row>
    <row r="18" spans="1:15">
      <c r="B18" s="262"/>
      <c r="F18" s="251"/>
    </row>
    <row r="19" spans="1:15">
      <c r="C19" s="65" t="s">
        <v>114</v>
      </c>
      <c r="F19" s="251" t="s">
        <v>115</v>
      </c>
      <c r="H19" s="256"/>
      <c r="I19" s="257"/>
      <c r="J19" s="275"/>
      <c r="K19" s="276">
        <f>Scenarios!G30</f>
        <v>0.05</v>
      </c>
      <c r="L19" s="276">
        <f>Scenarios!H30</f>
        <v>0.04</v>
      </c>
      <c r="M19" s="276">
        <f>Scenarios!I30</f>
        <v>0.04</v>
      </c>
      <c r="N19" s="276">
        <f>Scenarios!J30</f>
        <v>0.04</v>
      </c>
      <c r="O19" s="276">
        <f>Scenarios!K30</f>
        <v>0.04</v>
      </c>
    </row>
    <row r="20" spans="1:15">
      <c r="C20" s="277" t="s">
        <v>117</v>
      </c>
      <c r="F20" s="278" t="s">
        <v>78</v>
      </c>
      <c r="H20" s="279"/>
      <c r="I20" s="279"/>
      <c r="J20" s="265">
        <f>+J26*1000/J10</f>
        <v>344.45020448130867</v>
      </c>
      <c r="K20" s="265">
        <f>MIN(K17,J20*(1+K19))</f>
        <v>361.67271470537412</v>
      </c>
      <c r="L20" s="265">
        <f>MIN(L17,K20*(1+L19))</f>
        <v>376.13962329358912</v>
      </c>
      <c r="M20" s="265">
        <f>MIN(M17,L20*(1+M19))</f>
        <v>391.1852082253327</v>
      </c>
      <c r="N20" s="265">
        <f>MIN(N17,M20*(1+N19))</f>
        <v>406.83261655434603</v>
      </c>
      <c r="O20" s="265">
        <f>MIN(O17,N20*(1+O19))</f>
        <v>420</v>
      </c>
    </row>
    <row r="21" spans="1:15" ht="6" customHeight="1">
      <c r="C21" s="277"/>
      <c r="F21" s="278"/>
      <c r="H21" s="272"/>
      <c r="I21" s="272"/>
      <c r="J21" s="272"/>
      <c r="K21" s="272"/>
      <c r="L21" s="272"/>
      <c r="M21" s="272"/>
      <c r="N21" s="272"/>
      <c r="O21" s="272"/>
    </row>
    <row r="22" spans="1:15">
      <c r="C22" s="65" t="s">
        <v>53</v>
      </c>
      <c r="F22" s="278"/>
      <c r="H22" s="280"/>
      <c r="I22" s="280"/>
      <c r="J22" s="280"/>
      <c r="K22" s="280">
        <f>K20/K17</f>
        <v>0.86112551120327174</v>
      </c>
      <c r="L22" s="280">
        <f>L20/L17</f>
        <v>0.89557053165140266</v>
      </c>
      <c r="M22" s="280">
        <f>M20/M17</f>
        <v>0.93139335291745884</v>
      </c>
      <c r="N22" s="280">
        <f>N20/N17</f>
        <v>0.9686490870341572</v>
      </c>
      <c r="O22" s="280">
        <f>O20/O17</f>
        <v>1</v>
      </c>
    </row>
    <row r="23" spans="1:15" ht="12.75" customHeight="1">
      <c r="B23" s="266"/>
      <c r="C23" s="266"/>
      <c r="D23" s="266"/>
      <c r="E23" s="266"/>
      <c r="F23" s="281"/>
      <c r="G23" s="266"/>
      <c r="H23" s="266"/>
      <c r="I23" s="266"/>
      <c r="J23" s="266"/>
      <c r="K23" s="266"/>
      <c r="L23" s="266"/>
      <c r="M23" s="266"/>
      <c r="N23" s="266"/>
      <c r="O23" s="266"/>
    </row>
    <row r="24" spans="1:15" ht="12.75" customHeight="1">
      <c r="F24" s="251"/>
    </row>
    <row r="25" spans="1:15">
      <c r="B25" s="277" t="s">
        <v>43</v>
      </c>
      <c r="F25" s="251"/>
    </row>
    <row r="26" spans="1:15">
      <c r="A26" s="282"/>
      <c r="C26" s="84" t="s">
        <v>44</v>
      </c>
      <c r="F26" s="251" t="s">
        <v>184</v>
      </c>
      <c r="H26" s="283"/>
      <c r="I26" s="283"/>
      <c r="J26" s="284">
        <f>+J83</f>
        <v>239.2</v>
      </c>
      <c r="K26" s="284">
        <f>K$20*K10/1000</f>
        <v>289.33817176429926</v>
      </c>
      <c r="L26" s="284">
        <f>L$20*L10/1000</f>
        <v>272.7012268878521</v>
      </c>
      <c r="M26" s="284">
        <f>M$20*M10/1000</f>
        <v>322.7277967858995</v>
      </c>
      <c r="N26" s="284">
        <f>N$20*N10/1000</f>
        <v>325.46609324347679</v>
      </c>
      <c r="O26" s="284">
        <f>O$20*O10/1000</f>
        <v>315</v>
      </c>
    </row>
    <row r="27" spans="1:15">
      <c r="C27" s="115" t="s">
        <v>52</v>
      </c>
      <c r="F27" s="251" t="s">
        <v>184</v>
      </c>
      <c r="H27" s="283"/>
      <c r="I27" s="283"/>
      <c r="J27" s="284">
        <f>+J84</f>
        <v>34.4</v>
      </c>
      <c r="K27" s="284">
        <f>K$20*K12/1000</f>
        <v>36.890616899948157</v>
      </c>
      <c r="L27" s="284">
        <f>L$20*L12/1000</f>
        <v>39.133566407465011</v>
      </c>
      <c r="M27" s="284">
        <f>M$20*M12/1000</f>
        <v>41.51288724503889</v>
      </c>
      <c r="N27" s="284">
        <f>N$20*N12/1000</f>
        <v>44.252737803211453</v>
      </c>
      <c r="O27" s="284">
        <f>O$20*O12/1000</f>
        <v>46.827129509999992</v>
      </c>
    </row>
    <row r="28" spans="1:15">
      <c r="C28" s="277" t="s">
        <v>3</v>
      </c>
      <c r="F28" s="278" t="s">
        <v>184</v>
      </c>
      <c r="H28" s="285"/>
      <c r="I28" s="285"/>
      <c r="J28" s="286">
        <f t="shared" ref="J28:O28" si="1">J26-J27</f>
        <v>204.79999999999998</v>
      </c>
      <c r="K28" s="286">
        <f t="shared" si="1"/>
        <v>252.4475548643511</v>
      </c>
      <c r="L28" s="286">
        <f t="shared" si="1"/>
        <v>233.56766048038708</v>
      </c>
      <c r="M28" s="286">
        <f t="shared" si="1"/>
        <v>281.21490954086062</v>
      </c>
      <c r="N28" s="286">
        <f t="shared" si="1"/>
        <v>281.21335544026533</v>
      </c>
      <c r="O28" s="286">
        <f t="shared" si="1"/>
        <v>268.17287049000004</v>
      </c>
    </row>
    <row r="29" spans="1:15" ht="12.75" customHeight="1">
      <c r="B29" s="89"/>
      <c r="C29" s="89"/>
      <c r="D29" s="89"/>
      <c r="E29" s="89"/>
      <c r="F29" s="287"/>
      <c r="G29" s="89"/>
      <c r="H29" s="89"/>
      <c r="I29" s="89"/>
      <c r="J29" s="89"/>
      <c r="K29" s="89"/>
      <c r="L29" s="89"/>
      <c r="M29" s="89"/>
      <c r="N29" s="89"/>
      <c r="O29" s="89"/>
    </row>
    <row r="30" spans="1:15" ht="12.75" customHeight="1"/>
    <row r="31" spans="1:15" ht="12.75" customHeight="1">
      <c r="A31" s="237"/>
      <c r="B31" s="62"/>
      <c r="C31" s="64"/>
      <c r="D31" s="64"/>
      <c r="E31" s="64"/>
      <c r="F31" s="235"/>
      <c r="G31" s="64"/>
      <c r="H31" s="64"/>
      <c r="I31" s="64"/>
      <c r="J31" s="64"/>
      <c r="K31" s="64"/>
      <c r="L31" s="64"/>
      <c r="M31" s="64"/>
      <c r="N31" s="64"/>
      <c r="O31" s="288" t="str">
        <f>O1</f>
        <v>CURRENTLY RUNNING: BASE CASE SCENARIO</v>
      </c>
    </row>
    <row r="32" spans="1:15" ht="23.4">
      <c r="A32" s="237"/>
      <c r="B32" s="62" t="str">
        <f>B$2</f>
        <v>Henderson Manufacturing</v>
      </c>
      <c r="C32" s="64"/>
      <c r="D32" s="64"/>
      <c r="E32" s="64"/>
      <c r="F32" s="235"/>
      <c r="G32" s="64"/>
      <c r="H32" s="64"/>
      <c r="I32" s="64"/>
      <c r="J32" s="64"/>
      <c r="K32" s="64"/>
      <c r="L32" s="64"/>
      <c r="M32" s="64"/>
      <c r="N32" s="64"/>
      <c r="O32" s="64"/>
    </row>
    <row r="33" spans="1:15" ht="18">
      <c r="A33" s="238"/>
      <c r="B33" s="239" t="s">
        <v>48</v>
      </c>
      <c r="C33" s="240"/>
      <c r="D33" s="240"/>
      <c r="E33" s="240"/>
      <c r="F33" s="241"/>
      <c r="G33" s="240"/>
      <c r="H33" s="240"/>
      <c r="I33" s="240"/>
      <c r="J33" s="240"/>
      <c r="K33" s="240"/>
      <c r="L33" s="240"/>
      <c r="M33" s="240"/>
      <c r="N33" s="240"/>
      <c r="O33" s="240"/>
    </row>
    <row r="34" spans="1:15" ht="6" customHeight="1" thickBot="1">
      <c r="A34" s="238"/>
      <c r="B34" s="242"/>
      <c r="C34" s="243"/>
      <c r="D34" s="243"/>
      <c r="E34" s="243"/>
      <c r="F34" s="244"/>
      <c r="G34" s="243"/>
      <c r="H34" s="243"/>
      <c r="I34" s="243"/>
      <c r="J34" s="243"/>
      <c r="K34" s="243"/>
      <c r="L34" s="243"/>
      <c r="M34" s="243"/>
      <c r="N34" s="243"/>
      <c r="O34" s="243"/>
    </row>
    <row r="35" spans="1:15" ht="12.75" customHeight="1">
      <c r="A35" s="239"/>
      <c r="B35" s="240"/>
      <c r="C35" s="240"/>
      <c r="D35" s="240"/>
      <c r="E35" s="240"/>
      <c r="F35" s="241"/>
      <c r="G35" s="240"/>
      <c r="H35" s="240"/>
      <c r="I35" s="240"/>
      <c r="J35" s="240"/>
      <c r="K35" s="240"/>
      <c r="L35" s="240"/>
      <c r="M35" s="240"/>
      <c r="N35" s="240"/>
      <c r="O35" s="240"/>
    </row>
    <row r="36" spans="1:15">
      <c r="G36" s="246"/>
      <c r="K36" s="247" t="s">
        <v>2</v>
      </c>
      <c r="L36" s="119"/>
      <c r="M36" s="119"/>
      <c r="N36" s="119"/>
      <c r="O36" s="119"/>
    </row>
    <row r="37" spans="1:15">
      <c r="G37" s="43"/>
      <c r="H37" s="248">
        <f>H7</f>
        <v>2022</v>
      </c>
      <c r="I37" s="248">
        <f>I7</f>
        <v>2023</v>
      </c>
      <c r="J37" s="248">
        <f>J7</f>
        <v>2024</v>
      </c>
      <c r="K37" s="289">
        <f>K$7</f>
        <v>2025</v>
      </c>
      <c r="L37" s="289">
        <f>L$7</f>
        <v>2026</v>
      </c>
      <c r="M37" s="289">
        <f>M$7</f>
        <v>2027</v>
      </c>
      <c r="N37" s="289">
        <f>N$7</f>
        <v>2028</v>
      </c>
      <c r="O37" s="289">
        <f>O$7</f>
        <v>2029</v>
      </c>
    </row>
    <row r="38" spans="1:15" ht="13.05" customHeight="1"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13.05" customHeight="1">
      <c r="B39" s="290" t="s">
        <v>117</v>
      </c>
      <c r="C39" s="291"/>
      <c r="D39" s="291"/>
      <c r="E39" s="291"/>
      <c r="F39" s="292" t="s">
        <v>78</v>
      </c>
      <c r="G39" s="293"/>
      <c r="H39" s="294"/>
      <c r="I39" s="294"/>
      <c r="J39" s="294">
        <f t="shared" ref="J39:O39" si="2">J20</f>
        <v>344.45020448130867</v>
      </c>
      <c r="K39" s="294">
        <f t="shared" si="2"/>
        <v>361.67271470537412</v>
      </c>
      <c r="L39" s="294">
        <f t="shared" si="2"/>
        <v>376.13962329358912</v>
      </c>
      <c r="M39" s="294">
        <f t="shared" si="2"/>
        <v>391.1852082253327</v>
      </c>
      <c r="N39" s="294">
        <f t="shared" si="2"/>
        <v>406.83261655434603</v>
      </c>
      <c r="O39" s="295">
        <f t="shared" si="2"/>
        <v>420</v>
      </c>
    </row>
    <row r="40" spans="1:15">
      <c r="B40" s="296" t="s">
        <v>102</v>
      </c>
      <c r="C40" s="266"/>
      <c r="D40" s="266"/>
      <c r="E40" s="266"/>
      <c r="F40" s="281" t="s">
        <v>115</v>
      </c>
      <c r="G40" s="297"/>
      <c r="H40" s="298"/>
      <c r="I40" s="298"/>
      <c r="J40" s="298"/>
      <c r="K40" s="298"/>
      <c r="L40" s="299">
        <f>L11</f>
        <v>0.02</v>
      </c>
      <c r="M40" s="299">
        <f>M11</f>
        <v>0.02</v>
      </c>
      <c r="N40" s="299">
        <f>N11</f>
        <v>2.5000000000000001E-2</v>
      </c>
      <c r="O40" s="300">
        <f>O11</f>
        <v>2.5000000000000001E-2</v>
      </c>
    </row>
    <row r="41" spans="1:15" ht="13.05" customHeight="1">
      <c r="B41" s="301"/>
      <c r="G41" s="43"/>
      <c r="H41" s="43"/>
      <c r="I41" s="43"/>
      <c r="J41" s="43"/>
      <c r="K41" s="43"/>
      <c r="L41" s="43"/>
      <c r="M41" s="43"/>
      <c r="N41" s="43"/>
      <c r="O41" s="43"/>
    </row>
    <row r="42" spans="1:15" ht="12.75" customHeight="1">
      <c r="B42" s="302" t="s">
        <v>79</v>
      </c>
      <c r="G42" s="43"/>
      <c r="H42" s="43"/>
      <c r="I42" s="43"/>
      <c r="J42" s="43"/>
      <c r="K42" s="43"/>
      <c r="M42" s="43"/>
      <c r="N42" s="43"/>
      <c r="O42" s="43"/>
    </row>
    <row r="43" spans="1:15">
      <c r="A43" s="282"/>
      <c r="C43" s="277" t="s">
        <v>33</v>
      </c>
    </row>
    <row r="44" spans="1:15">
      <c r="D44" s="115" t="str">
        <f>Assumptions!C19</f>
        <v>Raw Materials</v>
      </c>
      <c r="F44" s="245" t="s">
        <v>183</v>
      </c>
      <c r="H44" s="303"/>
      <c r="I44" s="303"/>
      <c r="J44" s="303"/>
      <c r="K44" s="304">
        <f>Assumptions!E19</f>
        <v>226</v>
      </c>
      <c r="L44" s="305">
        <f t="shared" ref="L44:O45" si="3">K44*(1+L$40)</f>
        <v>230.52</v>
      </c>
      <c r="M44" s="305">
        <f t="shared" si="3"/>
        <v>235.13040000000001</v>
      </c>
      <c r="N44" s="305">
        <f t="shared" si="3"/>
        <v>241.00865999999999</v>
      </c>
      <c r="O44" s="305">
        <f t="shared" si="3"/>
        <v>247.03387649999996</v>
      </c>
    </row>
    <row r="45" spans="1:15">
      <c r="D45" s="115" t="str">
        <f>Assumptions!C20</f>
        <v>Utilities</v>
      </c>
      <c r="F45" s="245" t="s">
        <v>183</v>
      </c>
      <c r="H45" s="303"/>
      <c r="I45" s="303"/>
      <c r="J45" s="303"/>
      <c r="K45" s="306">
        <f>Assumptions!E20</f>
        <v>66.2</v>
      </c>
      <c r="L45" s="307">
        <f t="shared" si="3"/>
        <v>67.524000000000001</v>
      </c>
      <c r="M45" s="307">
        <f t="shared" si="3"/>
        <v>68.874480000000005</v>
      </c>
      <c r="N45" s="307">
        <f t="shared" si="3"/>
        <v>70.596341999999993</v>
      </c>
      <c r="O45" s="307">
        <f t="shared" si="3"/>
        <v>72.36125054999998</v>
      </c>
    </row>
    <row r="46" spans="1:15">
      <c r="D46" s="277" t="s">
        <v>34</v>
      </c>
      <c r="F46" s="308" t="s">
        <v>183</v>
      </c>
      <c r="H46" s="309"/>
      <c r="I46" s="309"/>
      <c r="J46" s="309"/>
      <c r="K46" s="309">
        <f>K45+K44</f>
        <v>292.2</v>
      </c>
      <c r="L46" s="309">
        <f>L45+L44</f>
        <v>298.04399999999998</v>
      </c>
      <c r="M46" s="309">
        <f>M45+M44</f>
        <v>304.00488000000001</v>
      </c>
      <c r="N46" s="309">
        <f>N45+N44</f>
        <v>311.60500200000001</v>
      </c>
      <c r="O46" s="309">
        <f>O45+O44</f>
        <v>319.39512704999993</v>
      </c>
    </row>
    <row r="47" spans="1:15" ht="6" customHeight="1">
      <c r="D47" s="115"/>
      <c r="H47" s="310"/>
      <c r="I47" s="310"/>
      <c r="J47" s="310"/>
      <c r="K47" s="310"/>
      <c r="L47" s="310"/>
      <c r="M47" s="310"/>
      <c r="N47" s="310"/>
      <c r="O47" s="310"/>
    </row>
    <row r="48" spans="1:15" ht="12.75" customHeight="1">
      <c r="C48" s="262" t="s">
        <v>35</v>
      </c>
      <c r="D48" s="115"/>
      <c r="H48" s="311"/>
      <c r="I48" s="311"/>
      <c r="J48" s="311"/>
      <c r="K48" s="311"/>
      <c r="L48" s="312"/>
      <c r="M48" s="312"/>
      <c r="N48" s="312"/>
      <c r="O48" s="312"/>
    </row>
    <row r="49" spans="1:16" ht="12.75" customHeight="1">
      <c r="D49" s="115" t="str">
        <f>Assumptions!C21</f>
        <v>Rent</v>
      </c>
      <c r="F49" s="245" t="s">
        <v>183</v>
      </c>
      <c r="H49" s="305"/>
      <c r="I49" s="305"/>
      <c r="J49" s="305"/>
      <c r="K49" s="305">
        <f t="shared" ref="K49:O51" si="4">K64*1000/K$39</f>
        <v>64.975871954132828</v>
      </c>
      <c r="L49" s="305">
        <f t="shared" si="4"/>
        <v>63.726335955014875</v>
      </c>
      <c r="M49" s="305">
        <f t="shared" si="4"/>
        <v>62.500829494341517</v>
      </c>
      <c r="N49" s="305">
        <f t="shared" si="4"/>
        <v>61.599375222788503</v>
      </c>
      <c r="O49" s="305">
        <f t="shared" si="4"/>
        <v>61.159883035714273</v>
      </c>
    </row>
    <row r="50" spans="1:16">
      <c r="D50" s="115" t="str">
        <f>Assumptions!C22</f>
        <v>Operating Labour</v>
      </c>
      <c r="F50" s="245" t="s">
        <v>183</v>
      </c>
      <c r="H50" s="305"/>
      <c r="I50" s="305"/>
      <c r="J50" s="305"/>
      <c r="K50" s="305">
        <f t="shared" si="4"/>
        <v>120.27448638318204</v>
      </c>
      <c r="L50" s="305">
        <f t="shared" si="4"/>
        <v>117.96151549119774</v>
      </c>
      <c r="M50" s="305">
        <f t="shared" si="4"/>
        <v>115.69302480867469</v>
      </c>
      <c r="N50" s="305">
        <f t="shared" si="4"/>
        <v>114.02437541239573</v>
      </c>
      <c r="O50" s="305">
        <f t="shared" si="4"/>
        <v>113.21084732142855</v>
      </c>
    </row>
    <row r="51" spans="1:16" ht="12.75" customHeight="1">
      <c r="D51" s="65" t="s">
        <v>10</v>
      </c>
      <c r="F51" s="245" t="s">
        <v>183</v>
      </c>
      <c r="H51" s="305"/>
      <c r="I51" s="305"/>
      <c r="J51" s="305"/>
      <c r="K51" s="307">
        <f t="shared" si="4"/>
        <v>5.5298614429049211</v>
      </c>
      <c r="L51" s="307">
        <f t="shared" si="4"/>
        <v>5.4235179536182878</v>
      </c>
      <c r="M51" s="307">
        <f t="shared" si="4"/>
        <v>5.3192195314333208</v>
      </c>
      <c r="N51" s="307">
        <f t="shared" si="4"/>
        <v>5.2425000189607234</v>
      </c>
      <c r="O51" s="307">
        <f t="shared" si="4"/>
        <v>5.2050964285714274</v>
      </c>
    </row>
    <row r="52" spans="1:16">
      <c r="D52" s="250" t="s">
        <v>51</v>
      </c>
      <c r="F52" s="308" t="s">
        <v>183</v>
      </c>
      <c r="H52" s="309"/>
      <c r="I52" s="309"/>
      <c r="J52" s="309"/>
      <c r="K52" s="309">
        <f>SUM(K49:K51)</f>
        <v>190.7802197802198</v>
      </c>
      <c r="L52" s="309">
        <f>SUM(L49:L51)</f>
        <v>187.11136939983092</v>
      </c>
      <c r="M52" s="309">
        <f>SUM(M49:M51)</f>
        <v>183.51307383444956</v>
      </c>
      <c r="N52" s="309">
        <f>SUM(N49:N51)</f>
        <v>180.86625065414495</v>
      </c>
      <c r="O52" s="309">
        <f>SUM(O49:O51)</f>
        <v>179.57582678571424</v>
      </c>
      <c r="P52" s="313"/>
    </row>
    <row r="53" spans="1:16" ht="6" customHeight="1">
      <c r="C53" s="277"/>
      <c r="F53" s="308"/>
      <c r="H53" s="314"/>
      <c r="I53" s="314"/>
      <c r="J53" s="314"/>
      <c r="K53" s="314"/>
      <c r="L53" s="314"/>
      <c r="M53" s="314"/>
      <c r="N53" s="314"/>
      <c r="O53" s="314"/>
      <c r="P53" s="313"/>
    </row>
    <row r="54" spans="1:16" ht="14.4" thickBot="1">
      <c r="C54" s="250" t="s">
        <v>45</v>
      </c>
      <c r="F54" s="308" t="s">
        <v>183</v>
      </c>
      <c r="H54" s="315"/>
      <c r="I54" s="315"/>
      <c r="J54" s="315"/>
      <c r="K54" s="316">
        <f>K52+K46</f>
        <v>482.98021978021978</v>
      </c>
      <c r="L54" s="316">
        <f>L52+L46</f>
        <v>485.15536939983087</v>
      </c>
      <c r="M54" s="316">
        <f>M52+M46</f>
        <v>487.5179538344496</v>
      </c>
      <c r="N54" s="316">
        <f>N52+N46</f>
        <v>492.47125265414496</v>
      </c>
      <c r="O54" s="316">
        <f>O52+O46</f>
        <v>498.97095383571417</v>
      </c>
    </row>
    <row r="55" spans="1:16" ht="13.05" customHeight="1" thickTop="1">
      <c r="B55" s="267"/>
      <c r="C55" s="317"/>
      <c r="D55" s="266"/>
      <c r="E55" s="266"/>
      <c r="F55" s="318"/>
      <c r="G55" s="319"/>
      <c r="H55" s="319"/>
      <c r="I55" s="319"/>
      <c r="J55" s="319"/>
      <c r="K55" s="319"/>
      <c r="L55" s="319"/>
      <c r="M55" s="319"/>
      <c r="N55" s="319"/>
      <c r="O55" s="319"/>
    </row>
    <row r="56" spans="1:16" ht="13.05" customHeight="1">
      <c r="B56" s="250"/>
      <c r="C56" s="277"/>
      <c r="F56" s="308"/>
      <c r="H56" s="314"/>
      <c r="I56" s="314"/>
      <c r="J56" s="314"/>
      <c r="K56" s="314"/>
      <c r="L56" s="314"/>
      <c r="M56" s="314"/>
      <c r="N56" s="314"/>
      <c r="O56" s="314"/>
    </row>
    <row r="57" spans="1:16">
      <c r="B57" s="302" t="s">
        <v>200</v>
      </c>
      <c r="C57" s="277"/>
      <c r="F57" s="308"/>
      <c r="H57" s="314"/>
      <c r="I57" s="314"/>
      <c r="J57" s="314"/>
      <c r="K57" s="314"/>
      <c r="L57" s="314"/>
      <c r="M57" s="314"/>
      <c r="N57" s="314"/>
      <c r="O57" s="314"/>
    </row>
    <row r="58" spans="1:16">
      <c r="C58" s="277" t="s">
        <v>33</v>
      </c>
      <c r="F58" s="308"/>
      <c r="H58" s="314"/>
      <c r="I58" s="314"/>
      <c r="J58" s="314"/>
      <c r="K58" s="314"/>
      <c r="L58" s="314"/>
      <c r="M58" s="314"/>
      <c r="N58" s="314"/>
      <c r="O58" s="314"/>
    </row>
    <row r="59" spans="1:16">
      <c r="D59" s="115" t="str">
        <f>D44</f>
        <v>Raw Materials</v>
      </c>
      <c r="F59" s="245" t="s">
        <v>184</v>
      </c>
      <c r="H59" s="305"/>
      <c r="I59" s="305"/>
      <c r="J59" s="305"/>
      <c r="K59" s="305">
        <f t="shared" ref="K59:O60" si="5">K44*K$39/1000</f>
        <v>81.738033523414543</v>
      </c>
      <c r="L59" s="305">
        <f t="shared" si="5"/>
        <v>86.707705961638169</v>
      </c>
      <c r="M59" s="305">
        <f t="shared" si="5"/>
        <v>91.97953448410577</v>
      </c>
      <c r="N59" s="305">
        <f t="shared" si="5"/>
        <v>98.050183760056754</v>
      </c>
      <c r="O59" s="305">
        <f t="shared" si="5"/>
        <v>103.75422812999999</v>
      </c>
    </row>
    <row r="60" spans="1:16">
      <c r="D60" s="115" t="str">
        <f>D45</f>
        <v>Utilities</v>
      </c>
      <c r="F60" s="245" t="s">
        <v>184</v>
      </c>
      <c r="H60" s="305"/>
      <c r="I60" s="305"/>
      <c r="J60" s="305"/>
      <c r="K60" s="307">
        <f t="shared" si="5"/>
        <v>23.942733713495766</v>
      </c>
      <c r="L60" s="307">
        <f t="shared" si="5"/>
        <v>25.398451923276312</v>
      </c>
      <c r="M60" s="307">
        <f t="shared" si="5"/>
        <v>26.942677800211513</v>
      </c>
      <c r="N60" s="307">
        <f t="shared" si="5"/>
        <v>28.720894535025472</v>
      </c>
      <c r="O60" s="307">
        <f t="shared" si="5"/>
        <v>30.391725230999992</v>
      </c>
    </row>
    <row r="61" spans="1:16" ht="12.75" customHeight="1">
      <c r="D61" s="277" t="s">
        <v>34</v>
      </c>
      <c r="F61" s="308" t="s">
        <v>184</v>
      </c>
      <c r="H61" s="309"/>
      <c r="I61" s="309"/>
      <c r="J61" s="309"/>
      <c r="K61" s="309">
        <f>SUM(K59:K60)</f>
        <v>105.68076723691031</v>
      </c>
      <c r="L61" s="309">
        <f>SUM(L59:L60)</f>
        <v>112.10615788491448</v>
      </c>
      <c r="M61" s="309">
        <f>SUM(M59:M60)</f>
        <v>118.92221228431728</v>
      </c>
      <c r="N61" s="309">
        <f>SUM(N59:N60)</f>
        <v>126.77107829508222</v>
      </c>
      <c r="O61" s="309">
        <f>SUM(O59:O60)</f>
        <v>134.14595336099998</v>
      </c>
    </row>
    <row r="62" spans="1:16" ht="6" customHeight="1">
      <c r="D62" s="115"/>
      <c r="F62" s="308"/>
      <c r="H62" s="314"/>
      <c r="I62" s="314"/>
      <c r="J62" s="314"/>
      <c r="K62" s="314"/>
      <c r="L62" s="314"/>
      <c r="M62" s="314"/>
      <c r="N62" s="314"/>
      <c r="O62" s="314"/>
    </row>
    <row r="63" spans="1:16" ht="12.75" customHeight="1">
      <c r="C63" s="262" t="s">
        <v>35</v>
      </c>
      <c r="D63" s="115"/>
      <c r="F63" s="308"/>
      <c r="H63" s="314"/>
      <c r="I63" s="314"/>
      <c r="J63" s="314"/>
      <c r="K63" s="314"/>
      <c r="L63" s="314"/>
      <c r="M63" s="314"/>
      <c r="N63" s="314"/>
      <c r="O63" s="314"/>
    </row>
    <row r="64" spans="1:16" ht="12.75" customHeight="1">
      <c r="A64" s="129"/>
      <c r="D64" s="115" t="str">
        <f>D49</f>
        <v>Rent</v>
      </c>
      <c r="F64" s="245" t="s">
        <v>184</v>
      </c>
      <c r="H64" s="303"/>
      <c r="I64" s="303"/>
      <c r="J64" s="303"/>
      <c r="K64" s="304">
        <f>Assumptions!E21</f>
        <v>23.5</v>
      </c>
      <c r="L64" s="305">
        <f t="shared" ref="L64:O66" si="6">K64*(1+L$40)</f>
        <v>23.97</v>
      </c>
      <c r="M64" s="305">
        <f t="shared" si="6"/>
        <v>24.449400000000001</v>
      </c>
      <c r="N64" s="305">
        <f t="shared" si="6"/>
        <v>25.060634999999998</v>
      </c>
      <c r="O64" s="305">
        <f t="shared" si="6"/>
        <v>25.687150874999997</v>
      </c>
    </row>
    <row r="65" spans="1:15" ht="12.75" customHeight="1">
      <c r="D65" s="115" t="str">
        <f>D50</f>
        <v>Operating Labour</v>
      </c>
      <c r="F65" s="245" t="s">
        <v>184</v>
      </c>
      <c r="H65" s="303"/>
      <c r="I65" s="303"/>
      <c r="J65" s="303"/>
      <c r="K65" s="304">
        <f>Assumptions!E22</f>
        <v>43.5</v>
      </c>
      <c r="L65" s="305">
        <f t="shared" si="6"/>
        <v>44.37</v>
      </c>
      <c r="M65" s="305">
        <f t="shared" si="6"/>
        <v>45.257399999999997</v>
      </c>
      <c r="N65" s="305">
        <f t="shared" si="6"/>
        <v>46.388834999999993</v>
      </c>
      <c r="O65" s="305">
        <f t="shared" si="6"/>
        <v>47.548555874999991</v>
      </c>
    </row>
    <row r="66" spans="1:15" ht="13.05" customHeight="1">
      <c r="D66" s="65" t="str">
        <f>D51</f>
        <v>Other</v>
      </c>
      <c r="F66" s="245" t="s">
        <v>184</v>
      </c>
      <c r="H66" s="303"/>
      <c r="I66" s="303"/>
      <c r="J66" s="303"/>
      <c r="K66" s="306">
        <f>Assumptions!E23</f>
        <v>2</v>
      </c>
      <c r="L66" s="307">
        <f t="shared" si="6"/>
        <v>2.04</v>
      </c>
      <c r="M66" s="307">
        <f t="shared" si="6"/>
        <v>2.0808</v>
      </c>
      <c r="N66" s="307">
        <f t="shared" si="6"/>
        <v>2.1328199999999997</v>
      </c>
      <c r="O66" s="307">
        <f t="shared" si="6"/>
        <v>2.1861404999999996</v>
      </c>
    </row>
    <row r="67" spans="1:15" ht="13.05" customHeight="1">
      <c r="D67" s="250" t="s">
        <v>51</v>
      </c>
      <c r="F67" s="308" t="s">
        <v>184</v>
      </c>
      <c r="H67" s="309"/>
      <c r="I67" s="309"/>
      <c r="J67" s="309"/>
      <c r="K67" s="309">
        <f>SUM(K64:K66)</f>
        <v>69</v>
      </c>
      <c r="L67" s="309">
        <f>SUM(L64:L66)</f>
        <v>70.38000000000001</v>
      </c>
      <c r="M67" s="309">
        <f>SUM(M64:M66)</f>
        <v>71.787599999999998</v>
      </c>
      <c r="N67" s="309">
        <f>SUM(N64:N66)</f>
        <v>73.582289999999986</v>
      </c>
      <c r="O67" s="309">
        <f>SUM(O64:O66)</f>
        <v>75.421847249999985</v>
      </c>
    </row>
    <row r="68" spans="1:15" ht="6" customHeight="1">
      <c r="C68" s="277"/>
      <c r="H68" s="310"/>
      <c r="I68" s="310"/>
      <c r="J68" s="310"/>
      <c r="K68" s="310"/>
      <c r="L68" s="310"/>
      <c r="M68" s="310"/>
      <c r="N68" s="310"/>
      <c r="O68" s="310"/>
    </row>
    <row r="69" spans="1:15" ht="14.4" thickBot="1">
      <c r="C69" s="250" t="s">
        <v>45</v>
      </c>
      <c r="F69" s="308" t="s">
        <v>184</v>
      </c>
      <c r="H69" s="315"/>
      <c r="I69" s="315"/>
      <c r="J69" s="315"/>
      <c r="K69" s="316">
        <f>K67+K61</f>
        <v>174.6807672369103</v>
      </c>
      <c r="L69" s="316">
        <f>L67+L61</f>
        <v>182.48615788491449</v>
      </c>
      <c r="M69" s="316">
        <f>M67+M61</f>
        <v>190.70981228431728</v>
      </c>
      <c r="N69" s="316">
        <f>N67+N61</f>
        <v>200.35336829508219</v>
      </c>
      <c r="O69" s="316">
        <f>O67+O61</f>
        <v>209.56780061099997</v>
      </c>
    </row>
    <row r="70" spans="1:15" ht="12.75" customHeight="1" thickTop="1">
      <c r="B70" s="320"/>
      <c r="C70" s="39"/>
      <c r="D70" s="89"/>
      <c r="E70" s="89"/>
      <c r="F70" s="321"/>
      <c r="G70" s="322"/>
      <c r="H70" s="322"/>
      <c r="I70" s="322"/>
      <c r="J70" s="322"/>
      <c r="K70" s="322"/>
      <c r="L70" s="322"/>
      <c r="M70" s="322"/>
      <c r="N70" s="322"/>
      <c r="O70" s="322"/>
    </row>
    <row r="71" spans="1:15">
      <c r="H71" s="323"/>
      <c r="I71" s="323"/>
      <c r="J71" s="323"/>
      <c r="K71" s="323"/>
      <c r="L71" s="323"/>
      <c r="M71" s="323"/>
      <c r="N71" s="323"/>
      <c r="O71" s="323"/>
    </row>
    <row r="72" spans="1:15" ht="12.75" customHeight="1">
      <c r="A72" s="237"/>
      <c r="B72" s="62"/>
      <c r="C72" s="64"/>
      <c r="D72" s="64"/>
      <c r="E72" s="64"/>
      <c r="F72" s="235"/>
      <c r="G72" s="64"/>
      <c r="H72" s="64"/>
      <c r="I72" s="64"/>
      <c r="J72" s="64"/>
      <c r="K72" s="64"/>
      <c r="L72" s="64"/>
      <c r="M72" s="64"/>
      <c r="N72" s="64"/>
      <c r="O72" s="288" t="str">
        <f>O31</f>
        <v>CURRENTLY RUNNING: BASE CASE SCENARIO</v>
      </c>
    </row>
    <row r="73" spans="1:15" ht="23.4">
      <c r="A73" s="237"/>
      <c r="B73" s="62" t="str">
        <f>B$2</f>
        <v>Henderson Manufacturing</v>
      </c>
      <c r="C73" s="64"/>
      <c r="D73" s="64"/>
      <c r="E73" s="64"/>
      <c r="F73" s="235"/>
      <c r="G73" s="64"/>
      <c r="H73" s="64"/>
      <c r="I73" s="64"/>
      <c r="J73" s="64"/>
      <c r="K73" s="64"/>
      <c r="L73" s="64"/>
      <c r="M73" s="64"/>
      <c r="N73" s="64"/>
      <c r="O73" s="64"/>
    </row>
    <row r="74" spans="1:15" ht="18">
      <c r="A74" s="238"/>
      <c r="B74" s="239" t="s">
        <v>37</v>
      </c>
      <c r="C74" s="240"/>
      <c r="D74" s="240"/>
      <c r="E74" s="240"/>
      <c r="F74" s="241"/>
      <c r="G74" s="240"/>
      <c r="H74" s="240"/>
      <c r="I74" s="240"/>
      <c r="J74" s="240"/>
      <c r="K74" s="240"/>
      <c r="L74" s="240"/>
      <c r="M74" s="240"/>
      <c r="N74" s="240"/>
      <c r="O74" s="240"/>
    </row>
    <row r="75" spans="1:15" ht="6" customHeight="1" thickBot="1">
      <c r="A75" s="238"/>
      <c r="B75" s="242"/>
      <c r="C75" s="243"/>
      <c r="D75" s="243"/>
      <c r="E75" s="243"/>
      <c r="F75" s="244"/>
      <c r="G75" s="243"/>
      <c r="H75" s="243"/>
      <c r="I75" s="243"/>
      <c r="J75" s="243"/>
      <c r="K75" s="243"/>
      <c r="L75" s="243"/>
      <c r="M75" s="243"/>
      <c r="N75" s="243"/>
      <c r="O75" s="243"/>
    </row>
    <row r="76" spans="1:15" ht="15" customHeight="1">
      <c r="A76" s="239"/>
      <c r="B76" s="324" t="s">
        <v>185</v>
      </c>
      <c r="C76" s="240"/>
      <c r="D76" s="240"/>
      <c r="E76" s="240"/>
      <c r="F76" s="241"/>
      <c r="G76" s="240"/>
      <c r="H76" s="240"/>
      <c r="I76" s="240"/>
      <c r="J76" s="240"/>
      <c r="K76" s="240"/>
      <c r="L76" s="240"/>
      <c r="M76" s="240"/>
      <c r="N76" s="240"/>
      <c r="O76" s="240"/>
    </row>
    <row r="77" spans="1:15">
      <c r="G77" s="246"/>
      <c r="K77" s="247" t="s">
        <v>2</v>
      </c>
      <c r="L77" s="119"/>
      <c r="M77" s="119"/>
      <c r="N77" s="119"/>
      <c r="O77" s="119"/>
    </row>
    <row r="78" spans="1:15">
      <c r="G78" s="43"/>
      <c r="H78" s="248">
        <f>H7</f>
        <v>2022</v>
      </c>
      <c r="I78" s="248">
        <f>I7</f>
        <v>2023</v>
      </c>
      <c r="J78" s="248">
        <f>J37</f>
        <v>2024</v>
      </c>
      <c r="K78" s="289">
        <f>K$7</f>
        <v>2025</v>
      </c>
      <c r="L78" s="289">
        <f>L$7</f>
        <v>2026</v>
      </c>
      <c r="M78" s="289">
        <f>M$7</f>
        <v>2027</v>
      </c>
      <c r="N78" s="289">
        <f>N$7</f>
        <v>2028</v>
      </c>
      <c r="O78" s="289">
        <f>O$7</f>
        <v>2029</v>
      </c>
    </row>
    <row r="79" spans="1:15" ht="6" customHeight="1">
      <c r="G79" s="43"/>
      <c r="H79" s="43"/>
      <c r="I79" s="43"/>
      <c r="J79" s="43"/>
      <c r="K79" s="325"/>
      <c r="L79" s="325"/>
      <c r="M79" s="325"/>
      <c r="N79" s="193"/>
      <c r="O79" s="194"/>
    </row>
    <row r="80" spans="1:15">
      <c r="B80" s="326" t="s">
        <v>116</v>
      </c>
      <c r="C80" s="327"/>
      <c r="D80" s="327"/>
      <c r="E80" s="327"/>
      <c r="F80" s="327" t="s">
        <v>78</v>
      </c>
      <c r="G80" s="328"/>
      <c r="H80" s="329"/>
      <c r="I80" s="329"/>
      <c r="J80" s="329">
        <f t="shared" ref="J80:O80" si="7">J20</f>
        <v>344.45020448130867</v>
      </c>
      <c r="K80" s="329">
        <f t="shared" si="7"/>
        <v>361.67271470537412</v>
      </c>
      <c r="L80" s="329">
        <f t="shared" si="7"/>
        <v>376.13962329358912</v>
      </c>
      <c r="M80" s="329">
        <f t="shared" si="7"/>
        <v>391.1852082253327</v>
      </c>
      <c r="N80" s="329">
        <f t="shared" si="7"/>
        <v>406.83261655434603</v>
      </c>
      <c r="O80" s="330">
        <f t="shared" si="7"/>
        <v>420</v>
      </c>
    </row>
    <row r="81" spans="1:15" ht="6" customHeight="1">
      <c r="F81" s="251"/>
      <c r="G81" s="43"/>
      <c r="H81" s="43"/>
      <c r="I81" s="43"/>
      <c r="J81" s="43"/>
      <c r="K81" s="325"/>
      <c r="L81" s="325"/>
      <c r="M81" s="325"/>
      <c r="N81" s="193"/>
      <c r="O81" s="194"/>
    </row>
    <row r="82" spans="1:15">
      <c r="B82" s="277" t="s">
        <v>43</v>
      </c>
      <c r="F82" s="251"/>
      <c r="G82" s="43"/>
      <c r="H82" s="43"/>
      <c r="I82" s="43"/>
      <c r="J82" s="43"/>
      <c r="K82" s="325"/>
      <c r="L82" s="325"/>
      <c r="M82" s="325"/>
      <c r="N82" s="193"/>
      <c r="O82" s="194"/>
    </row>
    <row r="83" spans="1:15">
      <c r="C83" s="65" t="s">
        <v>44</v>
      </c>
      <c r="F83" s="251"/>
      <c r="G83" s="43"/>
      <c r="H83" s="303">
        <v>244.79999999999998</v>
      </c>
      <c r="I83" s="303">
        <v>269.3</v>
      </c>
      <c r="J83" s="303">
        <v>239.2</v>
      </c>
      <c r="K83" s="331">
        <f t="shared" ref="K83:O84" si="8">K26</f>
        <v>289.33817176429926</v>
      </c>
      <c r="L83" s="331">
        <f t="shared" si="8"/>
        <v>272.7012268878521</v>
      </c>
      <c r="M83" s="331">
        <f t="shared" si="8"/>
        <v>322.7277967858995</v>
      </c>
      <c r="N83" s="331">
        <f t="shared" si="8"/>
        <v>325.46609324347679</v>
      </c>
      <c r="O83" s="331">
        <f t="shared" si="8"/>
        <v>315</v>
      </c>
    </row>
    <row r="84" spans="1:15">
      <c r="C84" s="115" t="s">
        <v>52</v>
      </c>
      <c r="F84" s="251"/>
      <c r="G84" s="43"/>
      <c r="H84" s="332">
        <v>31.3</v>
      </c>
      <c r="I84" s="332">
        <v>32.700000000000003</v>
      </c>
      <c r="J84" s="332">
        <v>34.4</v>
      </c>
      <c r="K84" s="333">
        <f t="shared" si="8"/>
        <v>36.890616899948157</v>
      </c>
      <c r="L84" s="333">
        <f t="shared" si="8"/>
        <v>39.133566407465011</v>
      </c>
      <c r="M84" s="333">
        <f t="shared" si="8"/>
        <v>41.51288724503889</v>
      </c>
      <c r="N84" s="333">
        <f t="shared" si="8"/>
        <v>44.252737803211453</v>
      </c>
      <c r="O84" s="333">
        <f t="shared" si="8"/>
        <v>46.827129509999992</v>
      </c>
    </row>
    <row r="85" spans="1:15">
      <c r="C85" s="277" t="s">
        <v>3</v>
      </c>
      <c r="F85" s="278"/>
      <c r="G85" s="43"/>
      <c r="H85" s="334">
        <f t="shared" ref="H85:N85" si="9">+H83-H84</f>
        <v>213.49999999999997</v>
      </c>
      <c r="I85" s="334">
        <f t="shared" si="9"/>
        <v>236.60000000000002</v>
      </c>
      <c r="J85" s="334">
        <f t="shared" si="9"/>
        <v>204.79999999999998</v>
      </c>
      <c r="K85" s="334">
        <f t="shared" si="9"/>
        <v>252.4475548643511</v>
      </c>
      <c r="L85" s="334">
        <f t="shared" si="9"/>
        <v>233.56766048038708</v>
      </c>
      <c r="M85" s="334">
        <f t="shared" si="9"/>
        <v>281.21490954086062</v>
      </c>
      <c r="N85" s="334">
        <f t="shared" si="9"/>
        <v>281.21335544026533</v>
      </c>
      <c r="O85" s="334">
        <f>+O83-O84</f>
        <v>268.17287049000004</v>
      </c>
    </row>
    <row r="86" spans="1:15">
      <c r="F86" s="251"/>
      <c r="G86" s="43"/>
      <c r="H86" s="335"/>
      <c r="I86" s="335"/>
      <c r="J86" s="335"/>
      <c r="K86" s="336"/>
      <c r="L86" s="336"/>
      <c r="M86" s="336"/>
      <c r="N86" s="336"/>
      <c r="O86" s="313"/>
    </row>
    <row r="87" spans="1:15">
      <c r="C87" s="65" t="s">
        <v>4</v>
      </c>
      <c r="F87" s="251"/>
      <c r="G87" s="43"/>
      <c r="H87" s="337">
        <v>159.9</v>
      </c>
      <c r="I87" s="337">
        <v>164.6</v>
      </c>
      <c r="J87" s="337">
        <v>167.9</v>
      </c>
      <c r="K87" s="331">
        <f>K69</f>
        <v>174.6807672369103</v>
      </c>
      <c r="L87" s="331">
        <f>L69</f>
        <v>182.48615788491449</v>
      </c>
      <c r="M87" s="331">
        <f>M69</f>
        <v>190.70981228431728</v>
      </c>
      <c r="N87" s="331">
        <f>N69</f>
        <v>200.35336829508219</v>
      </c>
      <c r="O87" s="331">
        <f>O69</f>
        <v>209.56780061099997</v>
      </c>
    </row>
    <row r="88" spans="1:15">
      <c r="A88" s="282"/>
      <c r="C88" s="84" t="s">
        <v>36</v>
      </c>
      <c r="F88" s="251"/>
      <c r="G88" s="43"/>
      <c r="H88" s="338">
        <v>3.4</v>
      </c>
      <c r="I88" s="338">
        <v>3.6</v>
      </c>
      <c r="J88" s="338">
        <v>3.8</v>
      </c>
      <c r="K88" s="339">
        <f>Assumptions!E24</f>
        <v>3.9</v>
      </c>
      <c r="L88" s="333">
        <f>K88*(1+L$11)</f>
        <v>3.9779999999999998</v>
      </c>
      <c r="M88" s="333">
        <f>L88*(1+M$11)</f>
        <v>4.0575599999999996</v>
      </c>
      <c r="N88" s="333">
        <f>M88*(1+N$11)</f>
        <v>4.1589989999999997</v>
      </c>
      <c r="O88" s="333">
        <f>N88*(1+O$11)</f>
        <v>4.2629739749999995</v>
      </c>
    </row>
    <row r="89" spans="1:15">
      <c r="C89" s="250" t="s">
        <v>45</v>
      </c>
      <c r="F89" s="278"/>
      <c r="G89" s="43"/>
      <c r="H89" s="334">
        <f t="shared" ref="H89:O89" si="10">SUM(H87:H88)</f>
        <v>163.30000000000001</v>
      </c>
      <c r="I89" s="334">
        <f t="shared" si="10"/>
        <v>168.2</v>
      </c>
      <c r="J89" s="334">
        <f t="shared" si="10"/>
        <v>171.70000000000002</v>
      </c>
      <c r="K89" s="334">
        <f t="shared" si="10"/>
        <v>178.5807672369103</v>
      </c>
      <c r="L89" s="334">
        <f t="shared" si="10"/>
        <v>186.4641578849145</v>
      </c>
      <c r="M89" s="334">
        <f t="shared" si="10"/>
        <v>194.76737228431728</v>
      </c>
      <c r="N89" s="334">
        <f t="shared" si="10"/>
        <v>204.51236729508219</v>
      </c>
      <c r="O89" s="334">
        <f t="shared" si="10"/>
        <v>213.83077458599996</v>
      </c>
    </row>
    <row r="90" spans="1:15">
      <c r="C90" s="250"/>
      <c r="F90" s="278"/>
      <c r="G90" s="43"/>
      <c r="H90" s="340"/>
      <c r="I90" s="340"/>
      <c r="J90" s="340"/>
      <c r="K90" s="340"/>
      <c r="L90" s="340"/>
      <c r="M90" s="340"/>
      <c r="N90" s="340"/>
      <c r="O90" s="340"/>
    </row>
    <row r="91" spans="1:15">
      <c r="A91" s="282"/>
      <c r="C91" s="84" t="s">
        <v>175</v>
      </c>
      <c r="F91" s="251"/>
      <c r="G91" s="43"/>
      <c r="H91" s="341">
        <v>0</v>
      </c>
      <c r="I91" s="341">
        <v>0</v>
      </c>
      <c r="J91" s="341">
        <v>0</v>
      </c>
      <c r="K91" s="342">
        <f>Assumptions!J40</f>
        <v>0</v>
      </c>
      <c r="L91" s="342">
        <f>Assumptions!K40</f>
        <v>0</v>
      </c>
      <c r="M91" s="342">
        <f>Assumptions!L40</f>
        <v>0</v>
      </c>
      <c r="N91" s="342">
        <f>Assumptions!M40</f>
        <v>0</v>
      </c>
      <c r="O91" s="342">
        <f>Assumptions!N40</f>
        <v>0</v>
      </c>
    </row>
    <row r="92" spans="1:15">
      <c r="B92" s="277"/>
      <c r="C92" s="277" t="s">
        <v>5</v>
      </c>
      <c r="F92" s="278"/>
      <c r="H92" s="343">
        <f t="shared" ref="H92:O92" si="11">H85-H89+H91</f>
        <v>50.19999999999996</v>
      </c>
      <c r="I92" s="343">
        <f t="shared" si="11"/>
        <v>68.400000000000034</v>
      </c>
      <c r="J92" s="343">
        <f t="shared" si="11"/>
        <v>33.099999999999966</v>
      </c>
      <c r="K92" s="343">
        <f t="shared" si="11"/>
        <v>73.8667876274408</v>
      </c>
      <c r="L92" s="343">
        <f t="shared" si="11"/>
        <v>47.103502595472577</v>
      </c>
      <c r="M92" s="343">
        <f t="shared" si="11"/>
        <v>86.447537256543342</v>
      </c>
      <c r="N92" s="343">
        <f t="shared" si="11"/>
        <v>76.700988145183146</v>
      </c>
      <c r="O92" s="343">
        <f t="shared" si="11"/>
        <v>54.342095904000075</v>
      </c>
    </row>
    <row r="93" spans="1:15">
      <c r="F93" s="251"/>
      <c r="H93" s="310"/>
      <c r="I93" s="310"/>
      <c r="J93" s="344"/>
      <c r="K93" s="344"/>
      <c r="L93" s="344"/>
      <c r="M93" s="344"/>
      <c r="N93" s="344"/>
      <c r="O93" s="344"/>
    </row>
    <row r="94" spans="1:15">
      <c r="C94" s="65" t="s">
        <v>46</v>
      </c>
      <c r="F94" s="251"/>
      <c r="H94" s="345">
        <v>15.4</v>
      </c>
      <c r="I94" s="345">
        <v>15.5</v>
      </c>
      <c r="J94" s="345">
        <v>15.8</v>
      </c>
      <c r="K94" s="307">
        <f>K211</f>
        <v>16.174666666666667</v>
      </c>
      <c r="L94" s="307">
        <f>L211</f>
        <v>16.724666666666668</v>
      </c>
      <c r="M94" s="307">
        <f>M211</f>
        <v>17.296333333333333</v>
      </c>
      <c r="N94" s="307">
        <f>N211</f>
        <v>17.876333333333335</v>
      </c>
      <c r="O94" s="307">
        <f>O211</f>
        <v>18.468</v>
      </c>
    </row>
    <row r="95" spans="1:15">
      <c r="C95" s="250" t="s">
        <v>7</v>
      </c>
      <c r="F95" s="278"/>
      <c r="H95" s="309">
        <f t="shared" ref="H95:O95" si="12">H92-H94</f>
        <v>34.799999999999962</v>
      </c>
      <c r="I95" s="309">
        <f t="shared" si="12"/>
        <v>52.900000000000034</v>
      </c>
      <c r="J95" s="309">
        <f t="shared" si="12"/>
        <v>17.299999999999965</v>
      </c>
      <c r="K95" s="309">
        <f t="shared" si="12"/>
        <v>57.692120960774133</v>
      </c>
      <c r="L95" s="309">
        <f t="shared" si="12"/>
        <v>30.378835928805909</v>
      </c>
      <c r="M95" s="309">
        <f t="shared" si="12"/>
        <v>69.151203923210005</v>
      </c>
      <c r="N95" s="309">
        <f t="shared" si="12"/>
        <v>58.824654811849811</v>
      </c>
      <c r="O95" s="309">
        <f t="shared" si="12"/>
        <v>35.874095904000072</v>
      </c>
    </row>
    <row r="96" spans="1:15" ht="6" customHeight="1">
      <c r="C96" s="250"/>
      <c r="F96" s="278"/>
      <c r="H96" s="314"/>
      <c r="I96" s="314"/>
      <c r="J96" s="314"/>
      <c r="K96" s="314"/>
      <c r="L96" s="314"/>
      <c r="M96" s="314"/>
      <c r="N96" s="314"/>
      <c r="O96" s="314"/>
    </row>
    <row r="97" spans="2:16">
      <c r="C97" s="115" t="s">
        <v>75</v>
      </c>
      <c r="F97" s="251"/>
      <c r="H97" s="346">
        <v>15</v>
      </c>
      <c r="I97" s="346">
        <v>15</v>
      </c>
      <c r="J97" s="346">
        <v>14</v>
      </c>
      <c r="K97" s="347">
        <f ca="1">K315</f>
        <v>11.241546551729892</v>
      </c>
      <c r="L97" s="347">
        <f ca="1">L315</f>
        <v>9.8805026602629322</v>
      </c>
      <c r="M97" s="347">
        <f ca="1">M315</f>
        <v>8.3871002238308279</v>
      </c>
      <c r="N97" s="347">
        <f ca="1">N315</f>
        <v>6.7331548041885201</v>
      </c>
      <c r="O97" s="347">
        <f ca="1">O315</f>
        <v>5.2483049470059662</v>
      </c>
    </row>
    <row r="98" spans="2:16">
      <c r="C98" s="262" t="s">
        <v>77</v>
      </c>
      <c r="F98" s="278"/>
      <c r="H98" s="305">
        <f t="shared" ref="H98:O98" si="13">H95-H97</f>
        <v>19.799999999999962</v>
      </c>
      <c r="I98" s="305">
        <f t="shared" si="13"/>
        <v>37.900000000000034</v>
      </c>
      <c r="J98" s="305">
        <f t="shared" si="13"/>
        <v>3.2999999999999652</v>
      </c>
      <c r="K98" s="305">
        <f t="shared" ca="1" si="13"/>
        <v>46.450574409044243</v>
      </c>
      <c r="L98" s="305">
        <f t="shared" ca="1" si="13"/>
        <v>20.498333268542979</v>
      </c>
      <c r="M98" s="305">
        <f t="shared" ca="1" si="13"/>
        <v>60.764103699379177</v>
      </c>
      <c r="N98" s="305">
        <f t="shared" ca="1" si="13"/>
        <v>52.091500007661288</v>
      </c>
      <c r="O98" s="305">
        <f t="shared" ca="1" si="13"/>
        <v>30.625790956994106</v>
      </c>
    </row>
    <row r="99" spans="2:16" ht="6" customHeight="1">
      <c r="C99" s="250"/>
      <c r="F99" s="278"/>
      <c r="H99" s="348"/>
      <c r="I99" s="348"/>
      <c r="J99" s="348"/>
      <c r="K99" s="348"/>
      <c r="L99" s="314"/>
      <c r="M99" s="309"/>
      <c r="N99" s="309"/>
      <c r="O99" s="314"/>
    </row>
    <row r="100" spans="2:16">
      <c r="C100" s="65" t="s">
        <v>97</v>
      </c>
      <c r="F100" s="251"/>
      <c r="H100" s="303">
        <v>3</v>
      </c>
      <c r="I100" s="303">
        <v>8</v>
      </c>
      <c r="J100" s="303">
        <v>0</v>
      </c>
      <c r="K100" s="305">
        <f t="shared" ref="K100:O101" ca="1" si="14">K230</f>
        <v>14.507701043165484</v>
      </c>
      <c r="L100" s="305">
        <f t="shared" ca="1" si="14"/>
        <v>5.4244166439900425</v>
      </c>
      <c r="M100" s="305">
        <f t="shared" ca="1" si="14"/>
        <v>19.517436294801595</v>
      </c>
      <c r="N100" s="305">
        <f t="shared" ca="1" si="14"/>
        <v>16.4820249999818</v>
      </c>
      <c r="O100" s="305">
        <f t="shared" ca="1" si="14"/>
        <v>8.969028844608518</v>
      </c>
    </row>
    <row r="101" spans="2:16">
      <c r="C101" s="65" t="s">
        <v>158</v>
      </c>
      <c r="F101" s="251"/>
      <c r="H101" s="332">
        <v>2.7</v>
      </c>
      <c r="I101" s="332">
        <v>6.2</v>
      </c>
      <c r="J101" s="332">
        <v>1.1000000000000001</v>
      </c>
      <c r="K101" s="307">
        <f t="shared" ca="1" si="14"/>
        <v>1.7499999999999982</v>
      </c>
      <c r="L101" s="307">
        <f t="shared" ca="1" si="14"/>
        <v>1.7499999999999991</v>
      </c>
      <c r="M101" s="307">
        <f t="shared" ca="1" si="14"/>
        <v>1.75</v>
      </c>
      <c r="N101" s="307">
        <f t="shared" ca="1" si="14"/>
        <v>1.75</v>
      </c>
      <c r="O101" s="307">
        <f t="shared" ca="1" si="14"/>
        <v>1.75</v>
      </c>
    </row>
    <row r="102" spans="2:16">
      <c r="C102" s="277" t="s">
        <v>98</v>
      </c>
      <c r="F102" s="278"/>
      <c r="H102" s="349">
        <f t="shared" ref="H102:O102" si="15">SUM(H100:H101)</f>
        <v>5.7</v>
      </c>
      <c r="I102" s="349">
        <f t="shared" si="15"/>
        <v>14.2</v>
      </c>
      <c r="J102" s="349">
        <f t="shared" si="15"/>
        <v>1.1000000000000001</v>
      </c>
      <c r="K102" s="349">
        <f t="shared" ca="1" si="15"/>
        <v>16.257701043165483</v>
      </c>
      <c r="L102" s="349">
        <f t="shared" ca="1" si="15"/>
        <v>7.1744166439900416</v>
      </c>
      <c r="M102" s="349">
        <f t="shared" ca="1" si="15"/>
        <v>21.267436294801595</v>
      </c>
      <c r="N102" s="349">
        <f t="shared" ca="1" si="15"/>
        <v>18.2320249999818</v>
      </c>
      <c r="O102" s="349">
        <f t="shared" ca="1" si="15"/>
        <v>10.719028844608518</v>
      </c>
    </row>
    <row r="103" spans="2:16">
      <c r="F103" s="251"/>
    </row>
    <row r="104" spans="2:16" ht="14.4" thickBot="1">
      <c r="C104" s="350" t="s">
        <v>8</v>
      </c>
      <c r="D104" s="277"/>
      <c r="E104" s="277"/>
      <c r="F104" s="278"/>
      <c r="H104" s="351">
        <f t="shared" ref="H104:O104" si="16">H98-H102</f>
        <v>14.099999999999962</v>
      </c>
      <c r="I104" s="351">
        <f t="shared" si="16"/>
        <v>23.700000000000035</v>
      </c>
      <c r="J104" s="351">
        <f t="shared" si="16"/>
        <v>2.1999999999999651</v>
      </c>
      <c r="K104" s="351">
        <f t="shared" ca="1" si="16"/>
        <v>30.192873365878761</v>
      </c>
      <c r="L104" s="351">
        <f t="shared" ca="1" si="16"/>
        <v>13.323916624552936</v>
      </c>
      <c r="M104" s="351">
        <f t="shared" ca="1" si="16"/>
        <v>39.496667404577579</v>
      </c>
      <c r="N104" s="351">
        <f t="shared" ca="1" si="16"/>
        <v>33.859475007679492</v>
      </c>
      <c r="O104" s="351">
        <f t="shared" ca="1" si="16"/>
        <v>19.906762112385586</v>
      </c>
    </row>
    <row r="105" spans="2:16" ht="14.4" thickTop="1">
      <c r="C105" s="352"/>
      <c r="F105" s="65"/>
      <c r="H105" s="353"/>
      <c r="I105" s="353"/>
      <c r="J105" s="353"/>
      <c r="K105" s="353"/>
      <c r="L105" s="353"/>
      <c r="M105" s="353"/>
      <c r="N105" s="353"/>
      <c r="O105" s="353"/>
    </row>
    <row r="106" spans="2:16">
      <c r="H106" s="323"/>
      <c r="I106" s="323"/>
      <c r="J106" s="323"/>
      <c r="K106" s="354"/>
      <c r="L106" s="354"/>
      <c r="M106" s="354"/>
      <c r="N106" s="354"/>
      <c r="O106" s="354"/>
    </row>
    <row r="107" spans="2:16">
      <c r="B107" s="355" t="s">
        <v>38</v>
      </c>
      <c r="C107" s="75"/>
      <c r="D107" s="75"/>
      <c r="E107" s="75"/>
      <c r="F107" s="356"/>
      <c r="G107" s="75"/>
      <c r="H107" s="357"/>
      <c r="I107" s="357"/>
      <c r="J107" s="357"/>
      <c r="K107" s="357"/>
      <c r="L107" s="357"/>
      <c r="M107" s="357"/>
      <c r="N107" s="357"/>
      <c r="O107" s="358"/>
    </row>
    <row r="108" spans="2:16">
      <c r="B108" s="78"/>
      <c r="C108" s="65" t="s">
        <v>39</v>
      </c>
      <c r="H108" s="60">
        <f t="shared" ref="H108:O108" si="17">H92/H85</f>
        <v>0.23512880562060876</v>
      </c>
      <c r="I108" s="60">
        <f t="shared" si="17"/>
        <v>0.28909551986475074</v>
      </c>
      <c r="J108" s="60">
        <f t="shared" si="17"/>
        <v>0.16162109374999983</v>
      </c>
      <c r="K108" s="60">
        <f t="shared" si="17"/>
        <v>0.29260250774515129</v>
      </c>
      <c r="L108" s="60">
        <f t="shared" si="17"/>
        <v>0.2016696254035901</v>
      </c>
      <c r="M108" s="60">
        <f t="shared" si="17"/>
        <v>0.30740737536884577</v>
      </c>
      <c r="N108" s="60">
        <f t="shared" si="17"/>
        <v>0.27275016161697124</v>
      </c>
      <c r="O108" s="55">
        <f t="shared" si="17"/>
        <v>0.20263830492885912</v>
      </c>
      <c r="P108" s="359"/>
    </row>
    <row r="109" spans="2:16">
      <c r="B109" s="78"/>
      <c r="C109" s="65" t="s">
        <v>40</v>
      </c>
      <c r="F109" s="360"/>
      <c r="H109" s="60">
        <f t="shared" ref="H109:O109" si="18">H95/H85</f>
        <v>0.16299765807962513</v>
      </c>
      <c r="I109" s="60">
        <f t="shared" si="18"/>
        <v>0.22358410819949293</v>
      </c>
      <c r="J109" s="60">
        <f t="shared" si="18"/>
        <v>8.4472656249999833E-2</v>
      </c>
      <c r="K109" s="60">
        <f t="shared" si="18"/>
        <v>0.22853111408337518</v>
      </c>
      <c r="L109" s="60">
        <f t="shared" si="18"/>
        <v>0.13006439276021628</v>
      </c>
      <c r="M109" s="60">
        <f t="shared" si="18"/>
        <v>0.24590162746389629</v>
      </c>
      <c r="N109" s="60">
        <f t="shared" si="18"/>
        <v>0.20918158285816266</v>
      </c>
      <c r="O109" s="55">
        <f t="shared" si="18"/>
        <v>0.13377227845028339</v>
      </c>
    </row>
    <row r="110" spans="2:16">
      <c r="B110" s="91"/>
      <c r="C110" s="89" t="s">
        <v>130</v>
      </c>
      <c r="D110" s="89"/>
      <c r="E110" s="89"/>
      <c r="F110" s="361"/>
      <c r="G110" s="89"/>
      <c r="H110" s="362"/>
      <c r="I110" s="362"/>
      <c r="J110" s="363">
        <f t="shared" ref="J110:O110" si="19">J104/J184</f>
        <v>8.5106382978722053E-3</v>
      </c>
      <c r="K110" s="363">
        <f t="shared" ca="1" si="19"/>
        <v>0.1068190843214592</v>
      </c>
      <c r="L110" s="363">
        <f t="shared" ca="1" si="19"/>
        <v>4.5425524954822563E-2</v>
      </c>
      <c r="M110" s="363">
        <f t="shared" ca="1" si="19"/>
        <v>0.12156158412779039</v>
      </c>
      <c r="N110" s="363">
        <f t="shared" ca="1" si="19"/>
        <v>9.6192142457019125E-2</v>
      </c>
      <c r="O110" s="364">
        <f t="shared" ca="1" si="19"/>
        <v>5.4105655680090459E-2</v>
      </c>
    </row>
    <row r="111" spans="2:16"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</row>
    <row r="112" spans="2:16">
      <c r="C112" s="365"/>
      <c r="F112" s="360"/>
      <c r="H112" s="366"/>
      <c r="I112" s="366"/>
      <c r="J112" s="366"/>
      <c r="K112" s="366"/>
      <c r="L112" s="366"/>
      <c r="M112" s="366"/>
      <c r="N112" s="366"/>
      <c r="O112" s="366"/>
    </row>
    <row r="113" spans="2:15" ht="12.75" customHeight="1">
      <c r="B113" s="62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288" t="str">
        <f>O191</f>
        <v>CURRENTLY RUNNING: BASE CASE SCENARIO</v>
      </c>
    </row>
    <row r="114" spans="2:15" ht="23.4">
      <c r="B114" s="62" t="str">
        <f>B2</f>
        <v>Henderson Manufacturing</v>
      </c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</row>
    <row r="115" spans="2:15" ht="18">
      <c r="B115" s="239" t="s">
        <v>47</v>
      </c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</row>
    <row r="116" spans="2:15" ht="6" customHeight="1" thickBot="1">
      <c r="B116" s="242"/>
      <c r="C116" s="367"/>
      <c r="D116" s="367"/>
      <c r="E116" s="367"/>
      <c r="F116" s="367"/>
      <c r="G116" s="367"/>
      <c r="H116" s="367"/>
      <c r="I116" s="367"/>
      <c r="J116" s="367"/>
      <c r="K116" s="367"/>
      <c r="L116" s="367"/>
      <c r="M116" s="367"/>
      <c r="N116" s="367"/>
      <c r="O116" s="367"/>
    </row>
    <row r="117" spans="2:15">
      <c r="B117" s="324" t="s">
        <v>185</v>
      </c>
      <c r="F117" s="65"/>
    </row>
    <row r="118" spans="2:15">
      <c r="F118" s="65"/>
      <c r="K118" s="247" t="s">
        <v>2</v>
      </c>
      <c r="L118" s="119"/>
      <c r="M118" s="119"/>
      <c r="N118" s="119"/>
      <c r="O118" s="119"/>
    </row>
    <row r="119" spans="2:15">
      <c r="B119" s="368"/>
      <c r="F119" s="369"/>
      <c r="G119" s="370"/>
      <c r="H119" s="248">
        <f>H7</f>
        <v>2022</v>
      </c>
      <c r="I119" s="248">
        <f>I7</f>
        <v>2023</v>
      </c>
      <c r="J119" s="248">
        <f>J7</f>
        <v>2024</v>
      </c>
      <c r="K119" s="371">
        <f>K$7</f>
        <v>2025</v>
      </c>
      <c r="L119" s="371">
        <f>L$7</f>
        <v>2026</v>
      </c>
      <c r="M119" s="371">
        <f>M$7</f>
        <v>2027</v>
      </c>
      <c r="N119" s="371">
        <f>N$7</f>
        <v>2028</v>
      </c>
      <c r="O119" s="371">
        <f>O$7</f>
        <v>2029</v>
      </c>
    </row>
    <row r="120" spans="2:15">
      <c r="B120" s="277" t="s">
        <v>9</v>
      </c>
      <c r="F120" s="65"/>
    </row>
    <row r="121" spans="2:15">
      <c r="C121" s="65" t="s">
        <v>8</v>
      </c>
      <c r="F121" s="65"/>
      <c r="G121" s="372"/>
      <c r="H121" s="373">
        <v>14.099999999999962</v>
      </c>
      <c r="I121" s="373">
        <v>23.700000000000035</v>
      </c>
      <c r="J121" s="373">
        <v>2.2000000000000002</v>
      </c>
      <c r="K121" s="374">
        <f ca="1">K104</f>
        <v>30.192873365878761</v>
      </c>
      <c r="L121" s="374">
        <f ca="1">L104</f>
        <v>13.323916624552936</v>
      </c>
      <c r="M121" s="374">
        <f ca="1">M104</f>
        <v>39.496667404577579</v>
      </c>
      <c r="N121" s="374">
        <f ca="1">N104</f>
        <v>33.859475007679492</v>
      </c>
      <c r="O121" s="374">
        <f ca="1">O104</f>
        <v>19.906762112385586</v>
      </c>
    </row>
    <row r="122" spans="2:15">
      <c r="C122" s="65" t="s">
        <v>6</v>
      </c>
      <c r="F122" s="65"/>
      <c r="G122" s="372"/>
      <c r="H122" s="373">
        <v>15.4</v>
      </c>
      <c r="I122" s="373">
        <v>15.5</v>
      </c>
      <c r="J122" s="373">
        <v>15.8</v>
      </c>
      <c r="K122" s="374">
        <f>K94</f>
        <v>16.174666666666667</v>
      </c>
      <c r="L122" s="374">
        <f>L94</f>
        <v>16.724666666666668</v>
      </c>
      <c r="M122" s="374">
        <f>M94</f>
        <v>17.296333333333333</v>
      </c>
      <c r="N122" s="374">
        <f>N94</f>
        <v>17.876333333333335</v>
      </c>
      <c r="O122" s="374">
        <f>O94</f>
        <v>18.468</v>
      </c>
    </row>
    <row r="123" spans="2:15">
      <c r="C123" s="65" t="s">
        <v>158</v>
      </c>
      <c r="F123" s="65"/>
      <c r="G123" s="375"/>
      <c r="H123" s="373">
        <v>2.7</v>
      </c>
      <c r="I123" s="373">
        <v>6.2</v>
      </c>
      <c r="J123" s="373">
        <v>1.1000000000000001</v>
      </c>
      <c r="K123" s="376">
        <f ca="1">K101</f>
        <v>1.7499999999999982</v>
      </c>
      <c r="L123" s="376">
        <f ca="1">L101</f>
        <v>1.7499999999999991</v>
      </c>
      <c r="M123" s="376">
        <f ca="1">M101</f>
        <v>1.75</v>
      </c>
      <c r="N123" s="376">
        <f ca="1">N101</f>
        <v>1.75</v>
      </c>
      <c r="O123" s="376">
        <f ca="1">O101</f>
        <v>1.75</v>
      </c>
    </row>
    <row r="124" spans="2:15">
      <c r="C124" s="65" t="s">
        <v>131</v>
      </c>
      <c r="F124" s="65"/>
      <c r="G124" s="377"/>
      <c r="H124" s="378">
        <v>0</v>
      </c>
      <c r="I124" s="378">
        <v>0</v>
      </c>
      <c r="J124" s="379">
        <v>0</v>
      </c>
      <c r="K124" s="307">
        <f>K268</f>
        <v>1.1724294651948242E-2</v>
      </c>
      <c r="L124" s="307">
        <f>L268</f>
        <v>6.8936400952346943</v>
      </c>
      <c r="M124" s="307">
        <f>M268</f>
        <v>-3.6906200333388597</v>
      </c>
      <c r="N124" s="307">
        <f>N268</f>
        <v>-0.98722811146348022</v>
      </c>
      <c r="O124" s="307">
        <f>O268</f>
        <v>3.0656584321266749</v>
      </c>
    </row>
    <row r="125" spans="2:15">
      <c r="C125" s="250" t="s">
        <v>11</v>
      </c>
      <c r="F125" s="65"/>
      <c r="G125" s="314"/>
      <c r="H125" s="380">
        <f t="shared" ref="H125:O125" si="20">SUM(H121:H124)</f>
        <v>32.199999999999967</v>
      </c>
      <c r="I125" s="380">
        <f t="shared" si="20"/>
        <v>45.400000000000034</v>
      </c>
      <c r="J125" s="380">
        <f t="shared" si="20"/>
        <v>19.100000000000001</v>
      </c>
      <c r="K125" s="380">
        <f t="shared" ca="1" si="20"/>
        <v>48.129264327197376</v>
      </c>
      <c r="L125" s="380">
        <f t="shared" ca="1" si="20"/>
        <v>38.692223386454302</v>
      </c>
      <c r="M125" s="380">
        <f t="shared" ca="1" si="20"/>
        <v>54.852380704572056</v>
      </c>
      <c r="N125" s="380">
        <f t="shared" ca="1" si="20"/>
        <v>52.498580229549347</v>
      </c>
      <c r="O125" s="380">
        <f t="shared" ca="1" si="20"/>
        <v>43.190420544512257</v>
      </c>
    </row>
    <row r="126" spans="2:15">
      <c r="B126" s="84"/>
      <c r="F126" s="65"/>
      <c r="G126" s="323"/>
      <c r="H126" s="381"/>
      <c r="I126" s="381"/>
      <c r="J126" s="381"/>
      <c r="K126" s="381"/>
      <c r="L126" s="381"/>
      <c r="M126" s="381"/>
      <c r="N126" s="381"/>
      <c r="O126" s="381"/>
    </row>
    <row r="127" spans="2:15">
      <c r="B127" s="84"/>
      <c r="F127" s="65"/>
      <c r="G127" s="323"/>
      <c r="H127" s="381"/>
      <c r="I127" s="381"/>
      <c r="J127" s="381"/>
      <c r="K127" s="381"/>
      <c r="L127" s="381"/>
      <c r="M127" s="381"/>
      <c r="N127" s="381"/>
      <c r="O127" s="381"/>
    </row>
    <row r="128" spans="2:15">
      <c r="B128" s="277" t="s">
        <v>107</v>
      </c>
      <c r="F128" s="65"/>
      <c r="G128" s="382"/>
      <c r="H128" s="383"/>
      <c r="I128" s="383"/>
      <c r="J128" s="383"/>
      <c r="K128" s="375"/>
      <c r="L128" s="375"/>
      <c r="M128" s="375"/>
      <c r="N128" s="375"/>
      <c r="O128" s="375"/>
    </row>
    <row r="129" spans="1:15">
      <c r="C129" s="65" t="s">
        <v>55</v>
      </c>
      <c r="H129" s="384">
        <v>-14.1</v>
      </c>
      <c r="I129" s="384">
        <v>-15</v>
      </c>
      <c r="J129" s="384">
        <v>-15.5</v>
      </c>
      <c r="K129" s="304">
        <f>-Assumptions!J45</f>
        <v>-16</v>
      </c>
      <c r="L129" s="304">
        <f>-Assumptions!K45</f>
        <v>-17</v>
      </c>
      <c r="M129" s="304">
        <f>-Assumptions!L45</f>
        <v>-17.3</v>
      </c>
      <c r="N129" s="304">
        <f>-Assumptions!M45</f>
        <v>-17.5</v>
      </c>
      <c r="O129" s="304">
        <f>-Assumptions!N45</f>
        <v>-18</v>
      </c>
    </row>
    <row r="130" spans="1:15">
      <c r="C130" s="65" t="s">
        <v>10</v>
      </c>
      <c r="H130" s="345">
        <v>-5</v>
      </c>
      <c r="I130" s="345">
        <v>4</v>
      </c>
      <c r="J130" s="345">
        <v>3</v>
      </c>
      <c r="K130" s="342">
        <f>Assumptions!J43</f>
        <v>0</v>
      </c>
      <c r="L130" s="342">
        <f>Assumptions!K43</f>
        <v>0</v>
      </c>
      <c r="M130" s="342">
        <f>Assumptions!L43</f>
        <v>0</v>
      </c>
      <c r="N130" s="342">
        <f>Assumptions!M43</f>
        <v>0</v>
      </c>
      <c r="O130" s="342">
        <f>Assumptions!N43</f>
        <v>0</v>
      </c>
    </row>
    <row r="131" spans="1:15">
      <c r="A131" s="277"/>
      <c r="C131" s="277" t="s">
        <v>108</v>
      </c>
      <c r="F131" s="65"/>
      <c r="G131" s="314"/>
      <c r="H131" s="385">
        <f t="shared" ref="H131:O131" si="21">SUM(H129:H130)</f>
        <v>-19.100000000000001</v>
      </c>
      <c r="I131" s="385">
        <f t="shared" si="21"/>
        <v>-11</v>
      </c>
      <c r="J131" s="385">
        <f t="shared" si="21"/>
        <v>-12.5</v>
      </c>
      <c r="K131" s="385">
        <f t="shared" si="21"/>
        <v>-16</v>
      </c>
      <c r="L131" s="385">
        <f t="shared" si="21"/>
        <v>-17</v>
      </c>
      <c r="M131" s="385">
        <f t="shared" si="21"/>
        <v>-17.3</v>
      </c>
      <c r="N131" s="385">
        <f t="shared" si="21"/>
        <v>-17.5</v>
      </c>
      <c r="O131" s="385">
        <f t="shared" si="21"/>
        <v>-18</v>
      </c>
    </row>
    <row r="132" spans="1:15">
      <c r="A132" s="277"/>
      <c r="B132" s="262"/>
      <c r="F132" s="65"/>
      <c r="G132" s="314"/>
      <c r="H132" s="386"/>
      <c r="I132" s="386"/>
      <c r="J132" s="387"/>
      <c r="K132" s="388"/>
      <c r="L132" s="388"/>
      <c r="M132" s="388"/>
      <c r="N132" s="388"/>
      <c r="O132" s="388"/>
    </row>
    <row r="133" spans="1:15">
      <c r="A133" s="277"/>
      <c r="B133" s="262"/>
      <c r="F133" s="65"/>
      <c r="G133" s="314"/>
      <c r="H133" s="386"/>
      <c r="I133" s="386"/>
      <c r="J133" s="386"/>
      <c r="K133" s="388"/>
      <c r="L133" s="388"/>
      <c r="M133" s="388"/>
      <c r="N133" s="388"/>
      <c r="O133" s="388"/>
    </row>
    <row r="134" spans="1:15">
      <c r="A134" s="277"/>
      <c r="B134" s="262" t="s">
        <v>74</v>
      </c>
      <c r="F134" s="65"/>
      <c r="G134" s="314"/>
      <c r="H134" s="389"/>
      <c r="I134" s="389"/>
      <c r="J134" s="389"/>
      <c r="K134" s="390"/>
      <c r="L134" s="390"/>
      <c r="M134" s="390"/>
      <c r="N134" s="390"/>
      <c r="O134" s="390"/>
    </row>
    <row r="135" spans="1:15">
      <c r="A135" s="277"/>
      <c r="B135" s="262"/>
      <c r="C135" s="65" t="s">
        <v>137</v>
      </c>
      <c r="F135" s="65"/>
      <c r="G135" s="314"/>
      <c r="H135" s="384">
        <v>0</v>
      </c>
      <c r="I135" s="384">
        <v>0</v>
      </c>
      <c r="J135" s="384">
        <v>0</v>
      </c>
      <c r="K135" s="374">
        <f ca="1">K299</f>
        <v>0</v>
      </c>
      <c r="L135" s="374">
        <f ca="1">L299</f>
        <v>4.5818702844346619</v>
      </c>
      <c r="M135" s="374">
        <f ca="1">M299</f>
        <v>-4.5818702844346619</v>
      </c>
      <c r="N135" s="374">
        <f ca="1">N299</f>
        <v>0</v>
      </c>
      <c r="O135" s="374">
        <f ca="1">O299</f>
        <v>0.4931068504120848</v>
      </c>
    </row>
    <row r="136" spans="1:15">
      <c r="A136" s="277"/>
      <c r="B136" s="262"/>
      <c r="C136" s="65" t="s">
        <v>138</v>
      </c>
      <c r="F136" s="65"/>
      <c r="G136" s="314"/>
      <c r="H136" s="384">
        <v>-25</v>
      </c>
      <c r="I136" s="384">
        <v>-25</v>
      </c>
      <c r="J136" s="384">
        <v>-25</v>
      </c>
      <c r="K136" s="374">
        <f>K308</f>
        <v>-25</v>
      </c>
      <c r="L136" s="374">
        <f>L308</f>
        <v>-25</v>
      </c>
      <c r="M136" s="374">
        <f>M308</f>
        <v>-25</v>
      </c>
      <c r="N136" s="374">
        <f>N308</f>
        <v>-25</v>
      </c>
      <c r="O136" s="374">
        <f>O308</f>
        <v>-25</v>
      </c>
    </row>
    <row r="137" spans="1:15">
      <c r="A137" s="277"/>
      <c r="B137" s="262"/>
      <c r="C137" s="65" t="s">
        <v>127</v>
      </c>
      <c r="F137" s="65"/>
      <c r="G137" s="314"/>
      <c r="H137" s="384">
        <v>0</v>
      </c>
      <c r="I137" s="384">
        <v>0</v>
      </c>
      <c r="J137" s="384">
        <v>0</v>
      </c>
      <c r="K137" s="374">
        <f>K328</f>
        <v>0</v>
      </c>
      <c r="L137" s="374">
        <f>L328</f>
        <v>0</v>
      </c>
      <c r="M137" s="374">
        <f>M328</f>
        <v>0</v>
      </c>
      <c r="N137" s="374">
        <f>N328</f>
        <v>0</v>
      </c>
      <c r="O137" s="374">
        <f>O328</f>
        <v>0</v>
      </c>
    </row>
    <row r="138" spans="1:15">
      <c r="A138" s="277"/>
      <c r="B138" s="262"/>
      <c r="C138" s="65" t="s">
        <v>128</v>
      </c>
      <c r="F138" s="65"/>
      <c r="G138" s="314"/>
      <c r="H138" s="345">
        <v>-2.8</v>
      </c>
      <c r="I138" s="345">
        <v>-4.7</v>
      </c>
      <c r="J138" s="345">
        <v>-2.4</v>
      </c>
      <c r="K138" s="374">
        <f ca="1">-K333</f>
        <v>-6.0385746731757521</v>
      </c>
      <c r="L138" s="374">
        <f ca="1">-L333</f>
        <v>-2.6647833249105872</v>
      </c>
      <c r="M138" s="374">
        <f ca="1">-M333</f>
        <v>-7.8993334810173508</v>
      </c>
      <c r="N138" s="374">
        <f ca="1">-N333</f>
        <v>-6.7718949965107802</v>
      </c>
      <c r="O138" s="374">
        <f ca="1">-O333</f>
        <v>-3.9813506808006878</v>
      </c>
    </row>
    <row r="139" spans="1:15">
      <c r="A139" s="277"/>
      <c r="B139" s="262"/>
      <c r="C139" s="277" t="s">
        <v>109</v>
      </c>
      <c r="F139" s="65"/>
      <c r="G139" s="314"/>
      <c r="H139" s="385">
        <f t="shared" ref="H139:O139" si="22">SUM(H135:H138)</f>
        <v>-27.8</v>
      </c>
      <c r="I139" s="385">
        <f t="shared" si="22"/>
        <v>-29.7</v>
      </c>
      <c r="J139" s="385">
        <f t="shared" si="22"/>
        <v>-27.4</v>
      </c>
      <c r="K139" s="385">
        <f t="shared" ca="1" si="22"/>
        <v>-31.038574673175752</v>
      </c>
      <c r="L139" s="385">
        <f t="shared" ca="1" si="22"/>
        <v>-23.082913040475926</v>
      </c>
      <c r="M139" s="385">
        <f t="shared" ca="1" si="22"/>
        <v>-37.481203765452008</v>
      </c>
      <c r="N139" s="385">
        <f t="shared" ca="1" si="22"/>
        <v>-31.771894996510781</v>
      </c>
      <c r="O139" s="385">
        <f t="shared" ca="1" si="22"/>
        <v>-28.488243830388605</v>
      </c>
    </row>
    <row r="140" spans="1:15">
      <c r="A140" s="277"/>
      <c r="B140" s="262"/>
      <c r="F140" s="65"/>
      <c r="G140" s="314"/>
      <c r="H140" s="389"/>
      <c r="I140" s="389"/>
      <c r="J140" s="389"/>
      <c r="K140" s="389"/>
      <c r="L140" s="389"/>
      <c r="M140" s="389"/>
      <c r="N140" s="389"/>
      <c r="O140" s="389"/>
    </row>
    <row r="141" spans="1:15">
      <c r="A141" s="277"/>
      <c r="C141" s="250"/>
      <c r="F141" s="65"/>
      <c r="G141" s="314"/>
      <c r="H141" s="389"/>
      <c r="I141" s="389"/>
      <c r="J141" s="389"/>
      <c r="K141" s="389"/>
      <c r="L141" s="389"/>
      <c r="M141" s="389"/>
      <c r="N141" s="389"/>
      <c r="O141" s="389"/>
    </row>
    <row r="142" spans="1:15">
      <c r="A142" s="277"/>
      <c r="B142" s="147" t="s">
        <v>56</v>
      </c>
      <c r="C142" s="391"/>
      <c r="D142" s="75"/>
      <c r="E142" s="75"/>
      <c r="F142" s="75"/>
      <c r="G142" s="392"/>
      <c r="H142" s="393">
        <f t="shared" ref="H142:O142" si="23">H139+H131+H125</f>
        <v>-14.700000000000038</v>
      </c>
      <c r="I142" s="393">
        <f t="shared" si="23"/>
        <v>4.7000000000000313</v>
      </c>
      <c r="J142" s="393">
        <f t="shared" si="23"/>
        <v>-20.799999999999997</v>
      </c>
      <c r="K142" s="393">
        <f t="shared" ca="1" si="23"/>
        <v>1.0906896540216238</v>
      </c>
      <c r="L142" s="393">
        <f t="shared" ca="1" si="23"/>
        <v>-1.390689654021628</v>
      </c>
      <c r="M142" s="393">
        <f t="shared" ca="1" si="23"/>
        <v>7.117693912005052E-2</v>
      </c>
      <c r="N142" s="393">
        <f t="shared" ca="1" si="23"/>
        <v>3.226685233038566</v>
      </c>
      <c r="O142" s="394">
        <f t="shared" ca="1" si="23"/>
        <v>-3.2978232858763477</v>
      </c>
    </row>
    <row r="143" spans="1:15">
      <c r="A143" s="277"/>
      <c r="B143" s="78" t="s">
        <v>57</v>
      </c>
      <c r="C143" s="250"/>
      <c r="F143" s="65"/>
      <c r="G143" s="314"/>
      <c r="H143" s="395">
        <v>31.1</v>
      </c>
      <c r="I143" s="396">
        <f t="shared" ref="I143:O143" si="24">+H144</f>
        <v>16.399999999999963</v>
      </c>
      <c r="J143" s="396">
        <f t="shared" si="24"/>
        <v>21.099999999999994</v>
      </c>
      <c r="K143" s="396">
        <f t="shared" si="24"/>
        <v>0.29999999999999716</v>
      </c>
      <c r="L143" s="396">
        <f t="shared" ca="1" si="24"/>
        <v>1.3906896540216209</v>
      </c>
      <c r="M143" s="396">
        <f t="shared" ca="1" si="24"/>
        <v>-7.1054273576010019E-15</v>
      </c>
      <c r="N143" s="396">
        <f t="shared" ca="1" si="24"/>
        <v>7.1176940442548187E-2</v>
      </c>
      <c r="O143" s="397">
        <f t="shared" ca="1" si="24"/>
        <v>3.2978622110611155</v>
      </c>
    </row>
    <row r="144" spans="1:15">
      <c r="A144" s="277"/>
      <c r="B144" s="398" t="s">
        <v>58</v>
      </c>
      <c r="C144" s="320"/>
      <c r="D144" s="89"/>
      <c r="E144" s="89"/>
      <c r="F144" s="89"/>
      <c r="G144" s="322"/>
      <c r="H144" s="399">
        <f t="shared" ref="H144:O144" si="25">H143+H142</f>
        <v>16.399999999999963</v>
      </c>
      <c r="I144" s="399">
        <f t="shared" si="25"/>
        <v>21.099999999999994</v>
      </c>
      <c r="J144" s="399">
        <f t="shared" si="25"/>
        <v>0.29999999999999716</v>
      </c>
      <c r="K144" s="399">
        <f t="shared" ca="1" si="25"/>
        <v>1.3906896540216209</v>
      </c>
      <c r="L144" s="399">
        <f t="shared" ca="1" si="25"/>
        <v>-7.1054273576010019E-15</v>
      </c>
      <c r="M144" s="399">
        <f t="shared" ca="1" si="25"/>
        <v>7.1176939120043414E-2</v>
      </c>
      <c r="N144" s="399">
        <f t="shared" ca="1" si="25"/>
        <v>3.2978621734811142</v>
      </c>
      <c r="O144" s="400">
        <f t="shared" ca="1" si="25"/>
        <v>3.8925184767890642E-5</v>
      </c>
    </row>
    <row r="145" spans="2:19"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</row>
    <row r="146" spans="2:19">
      <c r="F146" s="65"/>
    </row>
    <row r="147" spans="2:19" ht="12.75" customHeight="1">
      <c r="B147" s="62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288" t="str">
        <f>O113</f>
        <v>CURRENTLY RUNNING: BASE CASE SCENARIO</v>
      </c>
    </row>
    <row r="148" spans="2:19" ht="23.4">
      <c r="B148" s="62" t="str">
        <f>B2</f>
        <v>Henderson Manufacturing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</row>
    <row r="149" spans="2:19" ht="18">
      <c r="B149" s="239" t="s">
        <v>110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</row>
    <row r="150" spans="2:19" ht="6" customHeight="1" thickBot="1">
      <c r="B150" s="242"/>
      <c r="C150" s="367"/>
      <c r="D150" s="367"/>
      <c r="E150" s="367"/>
      <c r="F150" s="367"/>
      <c r="G150" s="367"/>
      <c r="H150" s="367"/>
      <c r="I150" s="367"/>
      <c r="J150" s="367"/>
      <c r="K150" s="367"/>
      <c r="L150" s="367"/>
      <c r="M150" s="367"/>
      <c r="N150" s="367"/>
      <c r="O150" s="367"/>
    </row>
    <row r="151" spans="2:19">
      <c r="B151" s="324" t="s">
        <v>185</v>
      </c>
      <c r="F151" s="65"/>
      <c r="O151" s="115"/>
    </row>
    <row r="152" spans="2:19">
      <c r="F152" s="65"/>
      <c r="H152" s="401"/>
      <c r="I152" s="401"/>
      <c r="J152" s="401"/>
      <c r="K152" s="247" t="s">
        <v>2</v>
      </c>
      <c r="L152" s="119"/>
      <c r="M152" s="119"/>
      <c r="N152" s="119"/>
      <c r="O152" s="119"/>
    </row>
    <row r="153" spans="2:19">
      <c r="B153" s="402"/>
      <c r="F153" s="371"/>
      <c r="G153" s="370"/>
      <c r="H153" s="248">
        <f>H7</f>
        <v>2022</v>
      </c>
      <c r="I153" s="248">
        <f>I7</f>
        <v>2023</v>
      </c>
      <c r="J153" s="248">
        <f>J7</f>
        <v>2024</v>
      </c>
      <c r="K153" s="371">
        <f>K$7</f>
        <v>2025</v>
      </c>
      <c r="L153" s="371">
        <f>L$7</f>
        <v>2026</v>
      </c>
      <c r="M153" s="371">
        <f>M$7</f>
        <v>2027</v>
      </c>
      <c r="N153" s="371">
        <f>N$7</f>
        <v>2028</v>
      </c>
      <c r="O153" s="371">
        <f>O$7</f>
        <v>2029</v>
      </c>
    </row>
    <row r="154" spans="2:19">
      <c r="B154" s="402"/>
      <c r="F154" s="65"/>
      <c r="G154" s="370"/>
      <c r="H154" s="371"/>
      <c r="I154" s="371"/>
      <c r="J154" s="371"/>
      <c r="K154" s="371"/>
      <c r="L154" s="371"/>
      <c r="M154" s="371"/>
      <c r="N154" s="371"/>
      <c r="O154" s="371"/>
    </row>
    <row r="155" spans="2:19">
      <c r="B155" s="277" t="s">
        <v>12</v>
      </c>
      <c r="F155" s="65"/>
    </row>
    <row r="156" spans="2:19">
      <c r="C156" s="65" t="s">
        <v>13</v>
      </c>
      <c r="F156" s="251"/>
      <c r="G156" s="377"/>
      <c r="H156" s="384">
        <v>16.399999999999963</v>
      </c>
      <c r="I156" s="384">
        <v>21.099999999999994</v>
      </c>
      <c r="J156" s="384">
        <v>0.3</v>
      </c>
      <c r="K156" s="403">
        <f ca="1">K144</f>
        <v>1.3906896540216209</v>
      </c>
      <c r="L156" s="403">
        <f ca="1">L144</f>
        <v>-7.1054273576010019E-15</v>
      </c>
      <c r="M156" s="403">
        <f ca="1">M144</f>
        <v>7.1176939120043414E-2</v>
      </c>
      <c r="N156" s="403">
        <f ca="1">N144</f>
        <v>3.2978621734811142</v>
      </c>
      <c r="O156" s="403">
        <f ca="1">O144</f>
        <v>3.8925184767890642E-5</v>
      </c>
      <c r="R156" s="349"/>
      <c r="S156" s="349"/>
    </row>
    <row r="157" spans="2:19">
      <c r="C157" s="65" t="s">
        <v>14</v>
      </c>
      <c r="F157" s="251"/>
      <c r="G157" s="377"/>
      <c r="H157" s="384">
        <v>27</v>
      </c>
      <c r="I157" s="384">
        <v>27.8</v>
      </c>
      <c r="J157" s="384">
        <v>28.3</v>
      </c>
      <c r="K157" s="374">
        <f t="shared" ref="K157:O160" si="26">K260</f>
        <v>31.123671147659724</v>
      </c>
      <c r="L157" s="374">
        <f t="shared" si="26"/>
        <v>25.596455943056121</v>
      </c>
      <c r="M157" s="374">
        <f t="shared" si="26"/>
        <v>30.818072278450476</v>
      </c>
      <c r="N157" s="374">
        <f t="shared" si="26"/>
        <v>30.733700048116429</v>
      </c>
      <c r="O157" s="374">
        <f t="shared" si="26"/>
        <v>29.38880772493151</v>
      </c>
    </row>
    <row r="158" spans="2:19">
      <c r="C158" s="65" t="s">
        <v>15</v>
      </c>
      <c r="F158" s="251"/>
      <c r="G158" s="377"/>
      <c r="H158" s="384">
        <v>36.5</v>
      </c>
      <c r="I158" s="384">
        <v>36.1</v>
      </c>
      <c r="J158" s="384">
        <v>35.1</v>
      </c>
      <c r="K158" s="374">
        <f t="shared" si="26"/>
        <v>33.500421113928006</v>
      </c>
      <c r="L158" s="374">
        <f t="shared" si="26"/>
        <v>32.497534965806693</v>
      </c>
      <c r="M158" s="374">
        <f t="shared" si="26"/>
        <v>31.349558183723389</v>
      </c>
      <c r="N158" s="374">
        <f t="shared" si="26"/>
        <v>32.844814474603638</v>
      </c>
      <c r="O158" s="374">
        <f t="shared" si="26"/>
        <v>31.578709681109586</v>
      </c>
    </row>
    <row r="159" spans="2:19">
      <c r="C159" s="65" t="s">
        <v>177</v>
      </c>
      <c r="F159" s="251"/>
      <c r="G159" s="404"/>
      <c r="H159" s="384">
        <v>14.6</v>
      </c>
      <c r="I159" s="384">
        <v>14.4</v>
      </c>
      <c r="J159" s="384">
        <v>14.9</v>
      </c>
      <c r="K159" s="376">
        <f t="shared" si="26"/>
        <v>14.357323334540572</v>
      </c>
      <c r="L159" s="376">
        <f t="shared" si="26"/>
        <v>14.998862291910781</v>
      </c>
      <c r="M159" s="376">
        <f t="shared" si="26"/>
        <v>15.674779091861694</v>
      </c>
      <c r="N159" s="376">
        <f t="shared" si="26"/>
        <v>16.422407237301819</v>
      </c>
      <c r="O159" s="376">
        <f t="shared" si="26"/>
        <v>17.224750735150682</v>
      </c>
    </row>
    <row r="160" spans="2:19">
      <c r="C160" s="115" t="s">
        <v>10</v>
      </c>
      <c r="F160" s="251"/>
      <c r="G160" s="404"/>
      <c r="H160" s="345">
        <v>1.4</v>
      </c>
      <c r="I160" s="345">
        <v>1.8</v>
      </c>
      <c r="J160" s="345">
        <v>1.2</v>
      </c>
      <c r="K160" s="347">
        <f t="shared" si="26"/>
        <v>1.4357323334540573</v>
      </c>
      <c r="L160" s="347">
        <f t="shared" si="26"/>
        <v>1.4998862291910779</v>
      </c>
      <c r="M160" s="347">
        <f t="shared" si="26"/>
        <v>1.5674779091861692</v>
      </c>
      <c r="N160" s="347">
        <f t="shared" si="26"/>
        <v>1.6422407237301822</v>
      </c>
      <c r="O160" s="347">
        <f t="shared" si="26"/>
        <v>1.7224750735150685</v>
      </c>
    </row>
    <row r="161" spans="2:15">
      <c r="C161" s="250" t="s">
        <v>16</v>
      </c>
      <c r="F161" s="278"/>
      <c r="G161" s="310"/>
      <c r="H161" s="374">
        <f t="shared" ref="H161:O161" si="27">SUM(H156:H160)</f>
        <v>95.899999999999963</v>
      </c>
      <c r="I161" s="374">
        <f t="shared" si="27"/>
        <v>101.2</v>
      </c>
      <c r="J161" s="374">
        <f t="shared" si="27"/>
        <v>79.800000000000011</v>
      </c>
      <c r="K161" s="374">
        <f t="shared" ca="1" si="27"/>
        <v>81.80783758360397</v>
      </c>
      <c r="L161" s="374">
        <f t="shared" ca="1" si="27"/>
        <v>74.592739429964666</v>
      </c>
      <c r="M161" s="374">
        <f t="shared" ca="1" si="27"/>
        <v>79.481064402341772</v>
      </c>
      <c r="N161" s="374">
        <f t="shared" ca="1" si="27"/>
        <v>84.941024657233172</v>
      </c>
      <c r="O161" s="374">
        <f t="shared" ca="1" si="27"/>
        <v>79.914782139891614</v>
      </c>
    </row>
    <row r="162" spans="2:15">
      <c r="F162" s="310"/>
      <c r="G162" s="372"/>
      <c r="H162" s="310"/>
      <c r="I162" s="310"/>
      <c r="J162" s="405"/>
      <c r="K162" s="405"/>
      <c r="L162" s="405"/>
      <c r="M162" s="405"/>
      <c r="N162" s="405"/>
      <c r="O162" s="405"/>
    </row>
    <row r="163" spans="2:15">
      <c r="C163" s="65" t="s">
        <v>17</v>
      </c>
      <c r="F163" s="251"/>
      <c r="G163" s="404"/>
      <c r="H163" s="384">
        <v>398.5</v>
      </c>
      <c r="I163" s="384">
        <v>398</v>
      </c>
      <c r="J163" s="384">
        <v>397.7</v>
      </c>
      <c r="K163" s="376">
        <f>J163-K129-K122</f>
        <v>397.52533333333332</v>
      </c>
      <c r="L163" s="376">
        <f>K163-L129-L122</f>
        <v>397.80066666666664</v>
      </c>
      <c r="M163" s="376">
        <f>L163-M129-M122</f>
        <v>397.80433333333332</v>
      </c>
      <c r="N163" s="376">
        <f>M163-N129-N122</f>
        <v>397.428</v>
      </c>
      <c r="O163" s="376">
        <f>N163-O129-O122</f>
        <v>396.96</v>
      </c>
    </row>
    <row r="164" spans="2:15">
      <c r="C164" s="115" t="s">
        <v>10</v>
      </c>
      <c r="F164" s="251"/>
      <c r="G164" s="404"/>
      <c r="H164" s="345">
        <v>19</v>
      </c>
      <c r="I164" s="345">
        <v>15</v>
      </c>
      <c r="J164" s="345">
        <v>12</v>
      </c>
      <c r="K164" s="347">
        <f>J164-K130</f>
        <v>12</v>
      </c>
      <c r="L164" s="347">
        <f>K164-L130</f>
        <v>12</v>
      </c>
      <c r="M164" s="347">
        <f>L164-M130</f>
        <v>12</v>
      </c>
      <c r="N164" s="347">
        <f>M164-N130</f>
        <v>12</v>
      </c>
      <c r="O164" s="347">
        <f>N164-O130</f>
        <v>12</v>
      </c>
    </row>
    <row r="165" spans="2:15">
      <c r="C165" s="262" t="s">
        <v>193</v>
      </c>
      <c r="F165" s="251"/>
      <c r="G165" s="404"/>
      <c r="H165" s="406">
        <f>SUM(H163:H164)</f>
        <v>417.5</v>
      </c>
      <c r="I165" s="406">
        <f t="shared" ref="I165:O165" si="28">SUM(I163:I164)</f>
        <v>413</v>
      </c>
      <c r="J165" s="406">
        <f t="shared" si="28"/>
        <v>409.7</v>
      </c>
      <c r="K165" s="406">
        <f t="shared" si="28"/>
        <v>409.52533333333332</v>
      </c>
      <c r="L165" s="406">
        <f t="shared" si="28"/>
        <v>409.80066666666664</v>
      </c>
      <c r="M165" s="406">
        <f t="shared" si="28"/>
        <v>409.80433333333332</v>
      </c>
      <c r="N165" s="406">
        <f t="shared" si="28"/>
        <v>409.428</v>
      </c>
      <c r="O165" s="406">
        <f t="shared" si="28"/>
        <v>408.96</v>
      </c>
    </row>
    <row r="166" spans="2:15">
      <c r="C166" s="115"/>
      <c r="F166" s="251"/>
      <c r="G166" s="404"/>
      <c r="H166" s="384"/>
      <c r="I166" s="384"/>
      <c r="J166" s="384"/>
      <c r="K166" s="376"/>
      <c r="L166" s="376"/>
      <c r="M166" s="376"/>
      <c r="N166" s="376"/>
      <c r="O166" s="376"/>
    </row>
    <row r="167" spans="2:15" ht="14.4" thickBot="1">
      <c r="C167" s="277" t="s">
        <v>18</v>
      </c>
      <c r="F167" s="278"/>
      <c r="G167" s="314"/>
      <c r="H167" s="316">
        <f>+H161+H165</f>
        <v>513.4</v>
      </c>
      <c r="I167" s="316">
        <f t="shared" ref="I167:O167" si="29">+I161+I165</f>
        <v>514.20000000000005</v>
      </c>
      <c r="J167" s="316">
        <f t="shared" si="29"/>
        <v>489.5</v>
      </c>
      <c r="K167" s="316">
        <f t="shared" ca="1" si="29"/>
        <v>491.33317091693732</v>
      </c>
      <c r="L167" s="316">
        <f t="shared" ca="1" si="29"/>
        <v>484.39340609663134</v>
      </c>
      <c r="M167" s="316">
        <f t="shared" ca="1" si="29"/>
        <v>489.28539773567508</v>
      </c>
      <c r="N167" s="316">
        <f t="shared" ca="1" si="29"/>
        <v>494.36902465723318</v>
      </c>
      <c r="O167" s="316">
        <f t="shared" ca="1" si="29"/>
        <v>488.87478213989158</v>
      </c>
    </row>
    <row r="168" spans="2:15" ht="14.4" thickTop="1">
      <c r="F168" s="310"/>
      <c r="G168" s="372"/>
      <c r="H168" s="310"/>
      <c r="I168" s="310"/>
      <c r="J168" s="372"/>
      <c r="K168" s="372"/>
      <c r="L168" s="372"/>
      <c r="M168" s="372"/>
      <c r="N168" s="372"/>
      <c r="O168" s="372"/>
    </row>
    <row r="169" spans="2:15">
      <c r="F169" s="310"/>
      <c r="G169" s="372"/>
      <c r="H169" s="310"/>
      <c r="I169" s="310"/>
      <c r="J169" s="372"/>
      <c r="K169" s="372"/>
      <c r="L169" s="372"/>
      <c r="M169" s="372"/>
      <c r="N169" s="372"/>
      <c r="O169" s="372"/>
    </row>
    <row r="170" spans="2:15">
      <c r="B170" s="250" t="s">
        <v>19</v>
      </c>
      <c r="F170" s="310"/>
      <c r="G170" s="372"/>
      <c r="H170" s="310"/>
      <c r="I170" s="310"/>
      <c r="J170" s="372"/>
      <c r="K170" s="372"/>
      <c r="L170" s="372"/>
      <c r="M170" s="372"/>
      <c r="N170" s="372"/>
      <c r="O170" s="372"/>
    </row>
    <row r="171" spans="2:15">
      <c r="C171" s="115" t="s">
        <v>143</v>
      </c>
      <c r="F171" s="251"/>
      <c r="G171" s="377"/>
      <c r="H171" s="384">
        <v>0</v>
      </c>
      <c r="I171" s="384">
        <v>0</v>
      </c>
      <c r="J171" s="384">
        <v>0</v>
      </c>
      <c r="K171" s="374">
        <f ca="1">K300</f>
        <v>0</v>
      </c>
      <c r="L171" s="374">
        <f ca="1">L300</f>
        <v>4.5818702844346619</v>
      </c>
      <c r="M171" s="374">
        <f ca="1">M300</f>
        <v>0</v>
      </c>
      <c r="N171" s="374">
        <f ca="1">N300</f>
        <v>0</v>
      </c>
      <c r="O171" s="374">
        <f ca="1">O300</f>
        <v>0.4931068504120848</v>
      </c>
    </row>
    <row r="172" spans="2:15">
      <c r="C172" s="115" t="s">
        <v>20</v>
      </c>
      <c r="F172" s="251"/>
      <c r="G172" s="377"/>
      <c r="H172" s="407">
        <v>18.299999999999997</v>
      </c>
      <c r="I172" s="407">
        <v>18.700000000000003</v>
      </c>
      <c r="J172" s="407">
        <v>18.2</v>
      </c>
      <c r="K172" s="305">
        <f t="shared" ref="K172:O173" si="30">K264</f>
        <v>19.143097779387432</v>
      </c>
      <c r="L172" s="305">
        <f t="shared" si="30"/>
        <v>19.998483055881039</v>
      </c>
      <c r="M172" s="305">
        <f t="shared" si="30"/>
        <v>20.899705455815592</v>
      </c>
      <c r="N172" s="305">
        <f t="shared" si="30"/>
        <v>21.896542983069093</v>
      </c>
      <c r="O172" s="305">
        <f t="shared" si="30"/>
        <v>22.966334313534244</v>
      </c>
    </row>
    <row r="173" spans="2:15">
      <c r="C173" s="115" t="s">
        <v>10</v>
      </c>
      <c r="F173" s="251"/>
      <c r="G173" s="404"/>
      <c r="H173" s="345">
        <v>4.7</v>
      </c>
      <c r="I173" s="345">
        <v>4.9000000000000004</v>
      </c>
      <c r="J173" s="345">
        <v>4.8</v>
      </c>
      <c r="K173" s="347">
        <f t="shared" si="30"/>
        <v>4.785774444846858</v>
      </c>
      <c r="L173" s="347">
        <f t="shared" si="30"/>
        <v>4.9996207639702597</v>
      </c>
      <c r="M173" s="347">
        <f t="shared" si="30"/>
        <v>5.2249263639538981</v>
      </c>
      <c r="N173" s="347">
        <f t="shared" si="30"/>
        <v>5.4741357457672732</v>
      </c>
      <c r="O173" s="347">
        <f t="shared" si="30"/>
        <v>5.7415835783835609</v>
      </c>
    </row>
    <row r="174" spans="2:15">
      <c r="C174" s="250" t="s">
        <v>21</v>
      </c>
      <c r="F174" s="278"/>
      <c r="G174" s="310"/>
      <c r="H174" s="305">
        <f t="shared" ref="H174:O174" si="31">SUM(H171:H173)</f>
        <v>22.999999999999996</v>
      </c>
      <c r="I174" s="305">
        <f t="shared" si="31"/>
        <v>23.6</v>
      </c>
      <c r="J174" s="305">
        <f t="shared" si="31"/>
        <v>23</v>
      </c>
      <c r="K174" s="305">
        <f t="shared" ca="1" si="31"/>
        <v>23.92887222423429</v>
      </c>
      <c r="L174" s="305">
        <f t="shared" ca="1" si="31"/>
        <v>29.579974104285959</v>
      </c>
      <c r="M174" s="305">
        <f t="shared" ca="1" si="31"/>
        <v>26.12463181976949</v>
      </c>
      <c r="N174" s="305">
        <f t="shared" ca="1" si="31"/>
        <v>27.370678728836367</v>
      </c>
      <c r="O174" s="305">
        <f t="shared" ca="1" si="31"/>
        <v>29.201024742329892</v>
      </c>
    </row>
    <row r="175" spans="2:15">
      <c r="F175" s="310"/>
      <c r="G175" s="372"/>
      <c r="H175" s="310"/>
      <c r="I175" s="310"/>
      <c r="J175" s="372"/>
      <c r="K175" s="372"/>
      <c r="L175" s="372"/>
      <c r="M175" s="374"/>
      <c r="N175" s="372"/>
      <c r="O175" s="372"/>
    </row>
    <row r="176" spans="2:15">
      <c r="C176" s="65" t="s">
        <v>158</v>
      </c>
      <c r="F176" s="251"/>
      <c r="G176" s="372"/>
      <c r="H176" s="408">
        <v>0.70000000000000018</v>
      </c>
      <c r="I176" s="408">
        <v>6.9</v>
      </c>
      <c r="J176" s="408">
        <v>8</v>
      </c>
      <c r="K176" s="374">
        <f ca="1">J176+K231</f>
        <v>9.7499999999999982</v>
      </c>
      <c r="L176" s="374">
        <f ca="1">K176+L231</f>
        <v>11.499999999999996</v>
      </c>
      <c r="M176" s="374">
        <f ca="1">L176+M231</f>
        <v>13.249999999999996</v>
      </c>
      <c r="N176" s="374">
        <f ca="1">M176+N231</f>
        <v>14.999999999999996</v>
      </c>
      <c r="O176" s="374">
        <f ca="1">N176+O231</f>
        <v>16.749999999999996</v>
      </c>
    </row>
    <row r="177" spans="2:15">
      <c r="C177" s="115" t="s">
        <v>136</v>
      </c>
      <c r="F177" s="251"/>
      <c r="G177" s="409"/>
      <c r="H177" s="345">
        <v>250</v>
      </c>
      <c r="I177" s="345">
        <v>225</v>
      </c>
      <c r="J177" s="345">
        <v>200</v>
      </c>
      <c r="K177" s="307">
        <f>K309</f>
        <v>175</v>
      </c>
      <c r="L177" s="307">
        <f>L309</f>
        <v>150</v>
      </c>
      <c r="M177" s="307">
        <f>M309</f>
        <v>125</v>
      </c>
      <c r="N177" s="307">
        <f>N309</f>
        <v>100</v>
      </c>
      <c r="O177" s="307">
        <f>O309</f>
        <v>75</v>
      </c>
    </row>
    <row r="178" spans="2:15">
      <c r="C178" s="262" t="s">
        <v>22</v>
      </c>
      <c r="F178" s="278"/>
      <c r="G178" s="377"/>
      <c r="H178" s="374">
        <f t="shared" ref="H178:O178" si="32">SUM(H176:H177)</f>
        <v>250.7</v>
      </c>
      <c r="I178" s="374">
        <f t="shared" si="32"/>
        <v>231.9</v>
      </c>
      <c r="J178" s="374">
        <f t="shared" si="32"/>
        <v>208</v>
      </c>
      <c r="K178" s="374">
        <f t="shared" ca="1" si="32"/>
        <v>184.75</v>
      </c>
      <c r="L178" s="374">
        <f t="shared" ca="1" si="32"/>
        <v>161.5</v>
      </c>
      <c r="M178" s="374">
        <f t="shared" ca="1" si="32"/>
        <v>138.25</v>
      </c>
      <c r="N178" s="374">
        <f t="shared" ca="1" si="32"/>
        <v>115</v>
      </c>
      <c r="O178" s="374">
        <f t="shared" ca="1" si="32"/>
        <v>91.75</v>
      </c>
    </row>
    <row r="179" spans="2:15">
      <c r="C179" s="250"/>
      <c r="F179" s="310"/>
      <c r="G179" s="372"/>
      <c r="H179" s="310"/>
      <c r="I179" s="310"/>
      <c r="J179" s="372"/>
      <c r="K179" s="372"/>
      <c r="L179" s="372"/>
      <c r="M179" s="372"/>
      <c r="N179" s="372"/>
      <c r="O179" s="372"/>
    </row>
    <row r="180" spans="2:15">
      <c r="C180" s="262" t="s">
        <v>23</v>
      </c>
      <c r="F180" s="278"/>
      <c r="G180" s="314"/>
      <c r="H180" s="309">
        <f t="shared" ref="H180:O180" si="33">H178+H174</f>
        <v>273.7</v>
      </c>
      <c r="I180" s="309">
        <f t="shared" si="33"/>
        <v>255.5</v>
      </c>
      <c r="J180" s="309">
        <f t="shared" si="33"/>
        <v>231</v>
      </c>
      <c r="K180" s="309">
        <f t="shared" ca="1" si="33"/>
        <v>208.67887222423428</v>
      </c>
      <c r="L180" s="309">
        <f t="shared" ca="1" si="33"/>
        <v>191.07997410428595</v>
      </c>
      <c r="M180" s="309">
        <f t="shared" ca="1" si="33"/>
        <v>164.37463181976949</v>
      </c>
      <c r="N180" s="309">
        <f t="shared" ca="1" si="33"/>
        <v>142.37067872883637</v>
      </c>
      <c r="O180" s="309">
        <f t="shared" ca="1" si="33"/>
        <v>120.95102474232989</v>
      </c>
    </row>
    <row r="181" spans="2:15">
      <c r="F181" s="310"/>
      <c r="G181" s="310"/>
      <c r="H181" s="310"/>
      <c r="I181" s="310"/>
      <c r="J181" s="372"/>
      <c r="K181" s="372"/>
      <c r="L181" s="372"/>
      <c r="M181" s="372"/>
      <c r="N181" s="372"/>
      <c r="O181" s="372"/>
    </row>
    <row r="182" spans="2:15">
      <c r="C182" s="65" t="s">
        <v>120</v>
      </c>
      <c r="F182" s="251"/>
      <c r="G182" s="310"/>
      <c r="H182" s="384">
        <v>120</v>
      </c>
      <c r="I182" s="384">
        <v>120</v>
      </c>
      <c r="J182" s="384">
        <v>120</v>
      </c>
      <c r="K182" s="374">
        <f>K329</f>
        <v>120</v>
      </c>
      <c r="L182" s="374">
        <f>L329</f>
        <v>120</v>
      </c>
      <c r="M182" s="374">
        <f>M329</f>
        <v>120</v>
      </c>
      <c r="N182" s="374">
        <f>N329</f>
        <v>120</v>
      </c>
      <c r="O182" s="374">
        <f>O329</f>
        <v>120</v>
      </c>
    </row>
    <row r="183" spans="2:15">
      <c r="C183" s="65" t="s">
        <v>123</v>
      </c>
      <c r="F183" s="251"/>
      <c r="G183" s="410"/>
      <c r="H183" s="345">
        <v>119.70000000000002</v>
      </c>
      <c r="I183" s="345">
        <v>138.70000000000007</v>
      </c>
      <c r="J183" s="345">
        <v>138.50000000000003</v>
      </c>
      <c r="K183" s="347">
        <f ca="1">K340</f>
        <v>162.65429869270304</v>
      </c>
      <c r="L183" s="347">
        <f ca="1">L340</f>
        <v>173.31343199234539</v>
      </c>
      <c r="M183" s="347">
        <f ca="1">M340</f>
        <v>204.91076591641479</v>
      </c>
      <c r="N183" s="347">
        <f ca="1">N340</f>
        <v>231.99834589920454</v>
      </c>
      <c r="O183" s="347">
        <f ca="1">O340</f>
        <v>247.92374835531808</v>
      </c>
    </row>
    <row r="184" spans="2:15">
      <c r="C184" s="250" t="s">
        <v>24</v>
      </c>
      <c r="F184" s="278"/>
      <c r="G184" s="377"/>
      <c r="H184" s="380">
        <f>SUM(H182:H183)</f>
        <v>239.70000000000002</v>
      </c>
      <c r="I184" s="380">
        <f>SUM(I182:I183)</f>
        <v>258.70000000000005</v>
      </c>
      <c r="J184" s="380">
        <f t="shared" ref="J184:O184" si="34">SUM(J182:J183)</f>
        <v>258.5</v>
      </c>
      <c r="K184" s="380">
        <f t="shared" ca="1" si="34"/>
        <v>282.65429869270304</v>
      </c>
      <c r="L184" s="380">
        <f t="shared" ca="1" si="34"/>
        <v>293.31343199234539</v>
      </c>
      <c r="M184" s="380">
        <f t="shared" ca="1" si="34"/>
        <v>324.91076591641479</v>
      </c>
      <c r="N184" s="380">
        <f t="shared" ca="1" si="34"/>
        <v>351.99834589920454</v>
      </c>
      <c r="O184" s="380">
        <f t="shared" ca="1" si="34"/>
        <v>367.92374835531808</v>
      </c>
    </row>
    <row r="185" spans="2:15">
      <c r="F185" s="310"/>
      <c r="G185" s="310"/>
      <c r="H185" s="372"/>
      <c r="I185" s="372"/>
      <c r="J185" s="372"/>
      <c r="K185" s="372"/>
      <c r="L185" s="372"/>
      <c r="M185" s="372"/>
      <c r="N185" s="372"/>
      <c r="O185" s="372"/>
    </row>
    <row r="186" spans="2:15" ht="14.4" thickBot="1">
      <c r="B186" s="250" t="s">
        <v>25</v>
      </c>
      <c r="F186" s="278"/>
      <c r="G186" s="314"/>
      <c r="H186" s="316">
        <f>H184+H180</f>
        <v>513.4</v>
      </c>
      <c r="I186" s="316">
        <f>I184+I180</f>
        <v>514.20000000000005</v>
      </c>
      <c r="J186" s="316">
        <f t="shared" ref="J186:O186" si="35">J184+J180</f>
        <v>489.5</v>
      </c>
      <c r="K186" s="316">
        <f t="shared" ca="1" si="35"/>
        <v>491.33317091693732</v>
      </c>
      <c r="L186" s="316">
        <f t="shared" ca="1" si="35"/>
        <v>484.39340609663134</v>
      </c>
      <c r="M186" s="316">
        <f t="shared" ca="1" si="35"/>
        <v>489.28539773618428</v>
      </c>
      <c r="N186" s="316">
        <f t="shared" ca="1" si="35"/>
        <v>494.3690246280409</v>
      </c>
      <c r="O186" s="316">
        <f t="shared" ca="1" si="35"/>
        <v>488.87477309764796</v>
      </c>
    </row>
    <row r="187" spans="2:15" ht="14.4" thickTop="1">
      <c r="F187" s="411"/>
      <c r="G187" s="411"/>
      <c r="H187" s="412"/>
      <c r="I187" s="412"/>
      <c r="J187" s="412"/>
      <c r="K187" s="412"/>
      <c r="L187" s="412"/>
      <c r="M187" s="412"/>
      <c r="N187" s="412"/>
      <c r="O187" s="412"/>
    </row>
    <row r="188" spans="2:15">
      <c r="B188" s="368"/>
      <c r="D188" s="413" t="s">
        <v>26</v>
      </c>
      <c r="F188" s="414"/>
      <c r="G188" s="414"/>
      <c r="H188" s="415">
        <f>H167-H186</f>
        <v>0</v>
      </c>
      <c r="I188" s="415">
        <f>I167-I186</f>
        <v>0</v>
      </c>
      <c r="J188" s="415">
        <f t="shared" ref="J188:O188" si="36">J167-J186</f>
        <v>0</v>
      </c>
      <c r="K188" s="415">
        <f t="shared" ca="1" si="36"/>
        <v>0</v>
      </c>
      <c r="L188" s="415">
        <f t="shared" ca="1" si="36"/>
        <v>0</v>
      </c>
      <c r="M188" s="415">
        <f t="shared" ca="1" si="36"/>
        <v>-5.092033461551182E-10</v>
      </c>
      <c r="N188" s="415">
        <f t="shared" ca="1" si="36"/>
        <v>2.9192278816481121E-8</v>
      </c>
      <c r="O188" s="415">
        <f t="shared" ca="1" si="36"/>
        <v>9.0422436187509447E-6</v>
      </c>
    </row>
    <row r="189" spans="2:15">
      <c r="B189" s="416"/>
      <c r="C189" s="89"/>
      <c r="D189" s="89"/>
      <c r="E189" s="89"/>
      <c r="F189" s="89"/>
      <c r="G189" s="89"/>
      <c r="H189" s="89"/>
      <c r="I189" s="89"/>
      <c r="J189" s="89"/>
      <c r="K189" s="417"/>
      <c r="L189" s="417"/>
      <c r="M189" s="417"/>
      <c r="N189" s="417"/>
      <c r="O189" s="417"/>
    </row>
    <row r="190" spans="2:15">
      <c r="F190" s="65"/>
    </row>
    <row r="191" spans="2:15" ht="12.75" customHeight="1">
      <c r="B191" s="418"/>
      <c r="C191" s="419"/>
      <c r="D191" s="419"/>
      <c r="E191" s="420"/>
      <c r="F191" s="420"/>
      <c r="G191" s="421"/>
      <c r="H191" s="421"/>
      <c r="I191" s="421"/>
      <c r="J191" s="421"/>
      <c r="K191" s="421"/>
      <c r="L191" s="421"/>
      <c r="M191" s="421"/>
      <c r="N191" s="421"/>
      <c r="O191" s="288" t="str">
        <f>O72</f>
        <v>CURRENTLY RUNNING: BASE CASE SCENARIO</v>
      </c>
    </row>
    <row r="192" spans="2:15" ht="22.8" customHeight="1">
      <c r="B192" s="418" t="str">
        <f>$B$2</f>
        <v>Henderson Manufacturing</v>
      </c>
      <c r="C192" s="419"/>
      <c r="D192" s="419"/>
      <c r="E192" s="420"/>
      <c r="F192" s="420"/>
      <c r="G192" s="421"/>
      <c r="H192" s="421"/>
      <c r="I192" s="421"/>
      <c r="J192" s="421"/>
      <c r="K192" s="421"/>
      <c r="L192" s="421"/>
      <c r="M192" s="421"/>
      <c r="N192" s="421"/>
      <c r="O192" s="421"/>
    </row>
    <row r="193" spans="1:243" ht="18">
      <c r="B193" s="239" t="s">
        <v>144</v>
      </c>
      <c r="C193" s="239"/>
      <c r="D193" s="239"/>
      <c r="E193" s="422"/>
      <c r="F193" s="422"/>
      <c r="G193" s="239"/>
      <c r="H193" s="239"/>
      <c r="I193" s="239"/>
      <c r="J193" s="239"/>
      <c r="K193" s="239"/>
      <c r="L193" s="239"/>
      <c r="M193" s="239"/>
      <c r="N193" s="239"/>
      <c r="O193" s="239"/>
    </row>
    <row r="194" spans="1:243" ht="6" customHeight="1" thickBot="1">
      <c r="B194" s="68"/>
      <c r="C194" s="68"/>
      <c r="D194" s="68"/>
      <c r="E194" s="423"/>
      <c r="F194" s="423"/>
      <c r="G194" s="68"/>
      <c r="H194" s="68"/>
      <c r="I194" s="68"/>
      <c r="J194" s="68"/>
      <c r="K194" s="68"/>
      <c r="L194" s="68"/>
      <c r="M194" s="68"/>
      <c r="N194" s="68"/>
      <c r="O194" s="68"/>
    </row>
    <row r="195" spans="1:243">
      <c r="B195" s="324" t="s">
        <v>185</v>
      </c>
      <c r="C195" s="368"/>
      <c r="E195" s="245"/>
      <c r="G195" s="368"/>
    </row>
    <row r="196" spans="1:243">
      <c r="E196" s="245"/>
      <c r="K196" s="247" t="s">
        <v>2</v>
      </c>
      <c r="L196" s="424"/>
      <c r="M196" s="424"/>
      <c r="N196" s="424"/>
      <c r="O196" s="424"/>
    </row>
    <row r="197" spans="1:243">
      <c r="C197" s="277"/>
      <c r="D197" s="277"/>
      <c r="E197" s="308"/>
      <c r="F197" s="425"/>
      <c r="G197" s="289"/>
      <c r="H197" s="248">
        <f>H7</f>
        <v>2022</v>
      </c>
      <c r="I197" s="248">
        <f>I7</f>
        <v>2023</v>
      </c>
      <c r="J197" s="248">
        <f>J7</f>
        <v>2024</v>
      </c>
      <c r="K197" s="426">
        <f>K$7</f>
        <v>2025</v>
      </c>
      <c r="L197" s="426">
        <f>L$7</f>
        <v>2026</v>
      </c>
      <c r="M197" s="426">
        <f>M$7</f>
        <v>2027</v>
      </c>
      <c r="N197" s="426">
        <f>N$7</f>
        <v>2028</v>
      </c>
      <c r="O197" s="426">
        <f>O$7</f>
        <v>2029</v>
      </c>
    </row>
    <row r="199" spans="1:243" ht="13.35" customHeight="1">
      <c r="A199" s="427"/>
      <c r="B199" s="428" t="s">
        <v>152</v>
      </c>
      <c r="C199" s="75"/>
      <c r="D199" s="75"/>
      <c r="E199" s="75"/>
      <c r="F199" s="429">
        <f>Assumptions!H28</f>
        <v>25</v>
      </c>
      <c r="K199" s="430"/>
      <c r="L199" s="431"/>
      <c r="M199" s="431"/>
      <c r="N199" s="431"/>
      <c r="P199" s="432"/>
      <c r="Q199" s="432"/>
      <c r="R199" s="432"/>
      <c r="S199" s="432"/>
      <c r="T199" s="432"/>
      <c r="U199" s="432"/>
      <c r="V199" s="432"/>
      <c r="W199" s="432"/>
      <c r="X199" s="432"/>
      <c r="Y199" s="432"/>
      <c r="Z199" s="432"/>
      <c r="AA199" s="432"/>
      <c r="AB199" s="432"/>
      <c r="AC199" s="432"/>
      <c r="AD199" s="432"/>
      <c r="AE199" s="432"/>
      <c r="AF199" s="432"/>
      <c r="AG199" s="432"/>
      <c r="AH199" s="432"/>
      <c r="AI199" s="432"/>
      <c r="AJ199" s="432"/>
      <c r="AK199" s="432"/>
      <c r="AL199" s="432"/>
      <c r="AM199" s="432"/>
      <c r="AN199" s="432"/>
      <c r="AO199" s="432"/>
      <c r="AP199" s="432"/>
      <c r="AQ199" s="432"/>
      <c r="AR199" s="432"/>
      <c r="AS199" s="432"/>
      <c r="AT199" s="432"/>
      <c r="AU199" s="432"/>
      <c r="AV199" s="432"/>
      <c r="AW199" s="432"/>
      <c r="AX199" s="432"/>
      <c r="AY199" s="432"/>
      <c r="AZ199" s="432"/>
      <c r="BA199" s="432"/>
      <c r="BB199" s="432"/>
      <c r="BC199" s="432"/>
      <c r="BD199" s="432"/>
      <c r="BE199" s="432"/>
      <c r="BF199" s="432"/>
      <c r="BG199" s="432"/>
      <c r="BH199" s="432"/>
      <c r="BI199" s="432"/>
      <c r="BJ199" s="432"/>
      <c r="BK199" s="432"/>
      <c r="BL199" s="432"/>
      <c r="BM199" s="432"/>
      <c r="BN199" s="432"/>
      <c r="BO199" s="432"/>
      <c r="BP199" s="432"/>
      <c r="BQ199" s="432"/>
      <c r="BR199" s="432"/>
      <c r="BS199" s="432"/>
      <c r="BT199" s="432"/>
      <c r="BU199" s="432"/>
      <c r="BV199" s="432"/>
      <c r="BW199" s="432"/>
      <c r="BX199" s="432"/>
      <c r="BY199" s="432"/>
      <c r="BZ199" s="432"/>
      <c r="CA199" s="432"/>
      <c r="CB199" s="432"/>
      <c r="CC199" s="432"/>
      <c r="CD199" s="432"/>
      <c r="CE199" s="432"/>
      <c r="CF199" s="432"/>
      <c r="CG199" s="432"/>
      <c r="CH199" s="432"/>
      <c r="CI199" s="432"/>
      <c r="CJ199" s="432"/>
      <c r="CK199" s="432"/>
      <c r="CL199" s="432"/>
      <c r="CM199" s="432"/>
      <c r="CN199" s="432"/>
      <c r="CO199" s="432"/>
      <c r="CP199" s="432"/>
      <c r="CQ199" s="432"/>
      <c r="CR199" s="432"/>
      <c r="CS199" s="432"/>
      <c r="CT199" s="432"/>
      <c r="CU199" s="432"/>
      <c r="CV199" s="432"/>
      <c r="CW199" s="432"/>
      <c r="CX199" s="432"/>
      <c r="CY199" s="432"/>
      <c r="CZ199" s="432"/>
      <c r="DA199" s="432"/>
      <c r="DB199" s="432"/>
      <c r="DC199" s="432"/>
      <c r="DD199" s="432"/>
      <c r="DE199" s="432"/>
      <c r="DF199" s="432"/>
      <c r="DG199" s="432"/>
      <c r="DH199" s="432"/>
      <c r="DI199" s="432"/>
      <c r="DJ199" s="432"/>
      <c r="DK199" s="432"/>
      <c r="DL199" s="432"/>
      <c r="DM199" s="432"/>
      <c r="DN199" s="432"/>
      <c r="DO199" s="432"/>
      <c r="DP199" s="432"/>
      <c r="DQ199" s="432"/>
      <c r="DR199" s="432"/>
      <c r="DS199" s="432"/>
      <c r="DT199" s="432"/>
      <c r="DU199" s="432"/>
      <c r="DV199" s="432"/>
      <c r="DW199" s="432"/>
      <c r="DX199" s="432"/>
      <c r="DY199" s="432"/>
      <c r="DZ199" s="432"/>
      <c r="EA199" s="432"/>
      <c r="EB199" s="432"/>
      <c r="EC199" s="432"/>
      <c r="ED199" s="432"/>
      <c r="EE199" s="432"/>
      <c r="EF199" s="432"/>
      <c r="EG199" s="432"/>
      <c r="EH199" s="432"/>
      <c r="EI199" s="432"/>
      <c r="EJ199" s="432"/>
      <c r="EK199" s="432"/>
      <c r="EL199" s="432"/>
      <c r="EM199" s="432"/>
      <c r="EN199" s="432"/>
      <c r="EO199" s="432"/>
      <c r="EP199" s="432"/>
      <c r="EQ199" s="432"/>
      <c r="ER199" s="432"/>
      <c r="ES199" s="432"/>
      <c r="ET199" s="432"/>
      <c r="EU199" s="432"/>
      <c r="EV199" s="432"/>
      <c r="EW199" s="432"/>
      <c r="EX199" s="432"/>
      <c r="EY199" s="432"/>
      <c r="EZ199" s="432"/>
      <c r="FA199" s="432"/>
      <c r="FB199" s="432"/>
      <c r="FC199" s="432"/>
      <c r="FD199" s="432"/>
      <c r="FE199" s="432"/>
      <c r="FF199" s="432"/>
      <c r="FG199" s="432"/>
      <c r="FH199" s="432"/>
      <c r="FI199" s="432"/>
      <c r="FJ199" s="432"/>
      <c r="FK199" s="432"/>
      <c r="FL199" s="432"/>
      <c r="FM199" s="432"/>
      <c r="FN199" s="432"/>
      <c r="FO199" s="432"/>
      <c r="FP199" s="432"/>
      <c r="FQ199" s="432"/>
      <c r="FR199" s="432"/>
      <c r="FS199" s="432"/>
      <c r="FT199" s="432"/>
      <c r="FU199" s="432"/>
      <c r="FV199" s="432"/>
      <c r="FW199" s="432"/>
      <c r="FX199" s="432"/>
      <c r="FY199" s="432"/>
      <c r="FZ199" s="432"/>
      <c r="GA199" s="432"/>
      <c r="GB199" s="432"/>
      <c r="GC199" s="432"/>
      <c r="GD199" s="432"/>
      <c r="GE199" s="432"/>
      <c r="GF199" s="432"/>
      <c r="GG199" s="432"/>
      <c r="GH199" s="432"/>
      <c r="GI199" s="432"/>
      <c r="GJ199" s="432"/>
      <c r="GK199" s="432"/>
      <c r="GL199" s="432"/>
      <c r="GM199" s="432"/>
      <c r="GN199" s="432"/>
      <c r="GO199" s="432"/>
      <c r="GP199" s="432"/>
      <c r="GQ199" s="432"/>
      <c r="GR199" s="432"/>
      <c r="GS199" s="432"/>
      <c r="GT199" s="432"/>
      <c r="GU199" s="432"/>
      <c r="GV199" s="432"/>
      <c r="GW199" s="432"/>
      <c r="GX199" s="432"/>
      <c r="GY199" s="432"/>
      <c r="GZ199" s="432"/>
      <c r="HA199" s="432"/>
      <c r="HB199" s="432"/>
      <c r="HC199" s="432"/>
      <c r="HD199" s="432"/>
      <c r="HE199" s="432"/>
      <c r="HF199" s="432"/>
      <c r="HG199" s="432"/>
      <c r="HH199" s="432"/>
      <c r="HI199" s="432"/>
      <c r="HJ199" s="432"/>
      <c r="HK199" s="432"/>
      <c r="HL199" s="432"/>
      <c r="HM199" s="432"/>
      <c r="HN199" s="432"/>
      <c r="HO199" s="432"/>
      <c r="HP199" s="432"/>
      <c r="HQ199" s="432"/>
      <c r="HR199" s="432"/>
      <c r="HS199" s="432"/>
      <c r="HT199" s="432"/>
      <c r="HU199" s="432"/>
      <c r="HV199" s="432"/>
      <c r="HW199" s="432"/>
      <c r="HX199" s="432"/>
      <c r="HY199" s="432"/>
      <c r="HZ199" s="432"/>
      <c r="IA199" s="432"/>
      <c r="IB199" s="432"/>
      <c r="IC199" s="432"/>
      <c r="ID199" s="432"/>
      <c r="IE199" s="432"/>
      <c r="IF199" s="432"/>
      <c r="IG199" s="432"/>
      <c r="IH199" s="432"/>
      <c r="II199" s="432"/>
    </row>
    <row r="200" spans="1:243" ht="13.35" customHeight="1">
      <c r="A200" s="427"/>
      <c r="B200" s="433" t="s">
        <v>153</v>
      </c>
      <c r="C200" s="89"/>
      <c r="D200" s="434"/>
      <c r="E200" s="435"/>
      <c r="F200" s="436">
        <f>Assumptions!H29</f>
        <v>30</v>
      </c>
      <c r="K200" s="430"/>
      <c r="L200" s="431"/>
      <c r="M200" s="431"/>
      <c r="N200" s="431"/>
      <c r="P200" s="432"/>
      <c r="Q200" s="432"/>
      <c r="R200" s="432"/>
      <c r="S200" s="432"/>
      <c r="T200" s="432"/>
      <c r="U200" s="432"/>
      <c r="V200" s="432"/>
      <c r="W200" s="432"/>
      <c r="X200" s="432"/>
      <c r="Y200" s="432"/>
      <c r="Z200" s="432"/>
      <c r="AA200" s="432"/>
      <c r="AB200" s="432"/>
      <c r="AC200" s="432"/>
      <c r="AD200" s="432"/>
      <c r="AE200" s="432"/>
      <c r="AF200" s="432"/>
      <c r="AG200" s="432"/>
      <c r="AH200" s="432"/>
      <c r="AI200" s="432"/>
      <c r="AJ200" s="432"/>
      <c r="AK200" s="432"/>
      <c r="AL200" s="432"/>
      <c r="AM200" s="432"/>
      <c r="AN200" s="432"/>
      <c r="AO200" s="432"/>
      <c r="AP200" s="432"/>
      <c r="AQ200" s="432"/>
      <c r="AR200" s="432"/>
      <c r="AS200" s="432"/>
      <c r="AT200" s="432"/>
      <c r="AU200" s="432"/>
      <c r="AV200" s="432"/>
      <c r="AW200" s="432"/>
      <c r="AX200" s="432"/>
      <c r="AY200" s="432"/>
      <c r="AZ200" s="432"/>
      <c r="BA200" s="432"/>
      <c r="BB200" s="432"/>
      <c r="BC200" s="432"/>
      <c r="BD200" s="432"/>
      <c r="BE200" s="432"/>
      <c r="BF200" s="432"/>
      <c r="BG200" s="432"/>
      <c r="BH200" s="432"/>
      <c r="BI200" s="432"/>
      <c r="BJ200" s="432"/>
      <c r="BK200" s="432"/>
      <c r="BL200" s="432"/>
      <c r="BM200" s="432"/>
      <c r="BN200" s="432"/>
      <c r="BO200" s="432"/>
      <c r="BP200" s="432"/>
      <c r="BQ200" s="432"/>
      <c r="BR200" s="432"/>
      <c r="BS200" s="432"/>
      <c r="BT200" s="432"/>
      <c r="BU200" s="432"/>
      <c r="BV200" s="432"/>
      <c r="BW200" s="432"/>
      <c r="BX200" s="432"/>
      <c r="BY200" s="432"/>
      <c r="BZ200" s="432"/>
      <c r="CA200" s="432"/>
      <c r="CB200" s="432"/>
      <c r="CC200" s="432"/>
      <c r="CD200" s="432"/>
      <c r="CE200" s="432"/>
      <c r="CF200" s="432"/>
      <c r="CG200" s="432"/>
      <c r="CH200" s="432"/>
      <c r="CI200" s="432"/>
      <c r="CJ200" s="432"/>
      <c r="CK200" s="432"/>
      <c r="CL200" s="432"/>
      <c r="CM200" s="432"/>
      <c r="CN200" s="432"/>
      <c r="CO200" s="432"/>
      <c r="CP200" s="432"/>
      <c r="CQ200" s="432"/>
      <c r="CR200" s="432"/>
      <c r="CS200" s="432"/>
      <c r="CT200" s="432"/>
      <c r="CU200" s="432"/>
      <c r="CV200" s="432"/>
      <c r="CW200" s="432"/>
      <c r="CX200" s="432"/>
      <c r="CY200" s="432"/>
      <c r="CZ200" s="432"/>
      <c r="DA200" s="432"/>
      <c r="DB200" s="432"/>
      <c r="DC200" s="432"/>
      <c r="DD200" s="432"/>
      <c r="DE200" s="432"/>
      <c r="DF200" s="432"/>
      <c r="DG200" s="432"/>
      <c r="DH200" s="432"/>
      <c r="DI200" s="432"/>
      <c r="DJ200" s="432"/>
      <c r="DK200" s="432"/>
      <c r="DL200" s="432"/>
      <c r="DM200" s="432"/>
      <c r="DN200" s="432"/>
      <c r="DO200" s="432"/>
      <c r="DP200" s="432"/>
      <c r="DQ200" s="432"/>
      <c r="DR200" s="432"/>
      <c r="DS200" s="432"/>
      <c r="DT200" s="432"/>
      <c r="DU200" s="432"/>
      <c r="DV200" s="432"/>
      <c r="DW200" s="432"/>
      <c r="DX200" s="432"/>
      <c r="DY200" s="432"/>
      <c r="DZ200" s="432"/>
      <c r="EA200" s="432"/>
      <c r="EB200" s="432"/>
      <c r="EC200" s="432"/>
      <c r="ED200" s="432"/>
      <c r="EE200" s="432"/>
      <c r="EF200" s="432"/>
      <c r="EG200" s="432"/>
      <c r="EH200" s="432"/>
      <c r="EI200" s="432"/>
      <c r="EJ200" s="432"/>
      <c r="EK200" s="432"/>
      <c r="EL200" s="432"/>
      <c r="EM200" s="432"/>
      <c r="EN200" s="432"/>
      <c r="EO200" s="432"/>
      <c r="EP200" s="432"/>
      <c r="EQ200" s="432"/>
      <c r="ER200" s="432"/>
      <c r="ES200" s="432"/>
      <c r="ET200" s="432"/>
      <c r="EU200" s="432"/>
      <c r="EV200" s="432"/>
      <c r="EW200" s="432"/>
      <c r="EX200" s="432"/>
      <c r="EY200" s="432"/>
      <c r="EZ200" s="432"/>
      <c r="FA200" s="432"/>
      <c r="FB200" s="432"/>
      <c r="FC200" s="432"/>
      <c r="FD200" s="432"/>
      <c r="FE200" s="432"/>
      <c r="FF200" s="432"/>
      <c r="FG200" s="432"/>
      <c r="FH200" s="432"/>
      <c r="FI200" s="432"/>
      <c r="FJ200" s="432"/>
      <c r="FK200" s="432"/>
      <c r="FL200" s="432"/>
      <c r="FM200" s="432"/>
      <c r="FN200" s="432"/>
      <c r="FO200" s="432"/>
      <c r="FP200" s="432"/>
      <c r="FQ200" s="432"/>
      <c r="FR200" s="432"/>
      <c r="FS200" s="432"/>
      <c r="FT200" s="432"/>
      <c r="FU200" s="432"/>
      <c r="FV200" s="432"/>
      <c r="FW200" s="432"/>
      <c r="FX200" s="432"/>
      <c r="FY200" s="432"/>
      <c r="FZ200" s="432"/>
      <c r="GA200" s="432"/>
      <c r="GB200" s="432"/>
      <c r="GC200" s="432"/>
      <c r="GD200" s="432"/>
      <c r="GE200" s="432"/>
      <c r="GF200" s="432"/>
      <c r="GG200" s="432"/>
      <c r="GH200" s="432"/>
      <c r="GI200" s="432"/>
      <c r="GJ200" s="432"/>
      <c r="GK200" s="432"/>
      <c r="GL200" s="432"/>
      <c r="GM200" s="432"/>
      <c r="GN200" s="432"/>
      <c r="GO200" s="432"/>
      <c r="GP200" s="432"/>
      <c r="GQ200" s="432"/>
      <c r="GR200" s="432"/>
      <c r="GS200" s="432"/>
      <c r="GT200" s="432"/>
      <c r="GU200" s="432"/>
      <c r="GV200" s="432"/>
      <c r="GW200" s="432"/>
      <c r="GX200" s="432"/>
      <c r="GY200" s="432"/>
      <c r="GZ200" s="432"/>
      <c r="HA200" s="432"/>
      <c r="HB200" s="432"/>
      <c r="HC200" s="432"/>
      <c r="HD200" s="432"/>
      <c r="HE200" s="432"/>
      <c r="HF200" s="432"/>
      <c r="HG200" s="432"/>
      <c r="HH200" s="432"/>
      <c r="HI200" s="432"/>
      <c r="HJ200" s="432"/>
      <c r="HK200" s="432"/>
      <c r="HL200" s="432"/>
      <c r="HM200" s="432"/>
      <c r="HN200" s="432"/>
      <c r="HO200" s="432"/>
      <c r="HP200" s="432"/>
      <c r="HQ200" s="432"/>
      <c r="HR200" s="432"/>
      <c r="HS200" s="432"/>
      <c r="HT200" s="432"/>
      <c r="HU200" s="432"/>
      <c r="HV200" s="432"/>
      <c r="HW200" s="432"/>
      <c r="HX200" s="432"/>
      <c r="HY200" s="432"/>
      <c r="HZ200" s="432"/>
      <c r="IA200" s="432"/>
      <c r="IB200" s="432"/>
      <c r="IC200" s="432"/>
      <c r="ID200" s="432"/>
      <c r="IE200" s="432"/>
      <c r="IF200" s="432"/>
      <c r="IG200" s="432"/>
      <c r="IH200" s="432"/>
      <c r="II200" s="432"/>
    </row>
    <row r="201" spans="1:243" ht="12.75" customHeight="1">
      <c r="F201" s="65"/>
      <c r="K201" s="437"/>
    </row>
    <row r="202" spans="1:243">
      <c r="D202" s="65" t="s">
        <v>41</v>
      </c>
      <c r="F202" s="65"/>
      <c r="H202" s="150"/>
      <c r="I202" s="150"/>
      <c r="J202" s="150"/>
      <c r="K202" s="438">
        <f>J163/F199</f>
        <v>15.907999999999999</v>
      </c>
      <c r="L202" s="438">
        <f>K202</f>
        <v>15.907999999999999</v>
      </c>
      <c r="M202" s="438">
        <f>L202</f>
        <v>15.907999999999999</v>
      </c>
      <c r="N202" s="438">
        <f>M202</f>
        <v>15.907999999999999</v>
      </c>
      <c r="O202" s="438">
        <f>N202</f>
        <v>15.907999999999999</v>
      </c>
    </row>
    <row r="203" spans="1:243">
      <c r="F203" s="65"/>
    </row>
    <row r="204" spans="1:243">
      <c r="D204" s="439" t="s">
        <v>55</v>
      </c>
      <c r="F204" s="65"/>
    </row>
    <row r="205" spans="1:243">
      <c r="D205" s="440">
        <f>K197</f>
        <v>2025</v>
      </c>
      <c r="E205" s="441">
        <f>-HLOOKUP(D205,$K$119:$O$129,ROWS($K$119:$K$129),FALSE)</f>
        <v>16</v>
      </c>
      <c r="F205" s="442"/>
      <c r="H205" s="431"/>
      <c r="I205" s="431"/>
      <c r="J205" s="431"/>
      <c r="K205" s="443">
        <f>IF(K$197=$D205,$E205/$F$200/2,($E205/$F$200))</f>
        <v>0.26666666666666666</v>
      </c>
      <c r="L205" s="443">
        <f>IF(L$197=$D205,$E205/$F$200/2,($E205/$F$200))</f>
        <v>0.53333333333333333</v>
      </c>
      <c r="M205" s="443">
        <f>IF(M$197=$D205,$E205/$F$200/2,($E205/$F$200))</f>
        <v>0.53333333333333333</v>
      </c>
      <c r="N205" s="443">
        <f>IF(N$197=$D205,$E205/$F$200/2,($E205/$F$200))</f>
        <v>0.53333333333333333</v>
      </c>
      <c r="O205" s="443">
        <f>IF(O$197=$D205,$E205/$F$200/2,($E205/$F$200))</f>
        <v>0.53333333333333333</v>
      </c>
    </row>
    <row r="206" spans="1:243">
      <c r="D206" s="440">
        <f>D205+1</f>
        <v>2026</v>
      </c>
      <c r="E206" s="444">
        <f t="shared" ref="E206:E209" si="37">-HLOOKUP(D206,$K$119:$O$129,ROWS($K$119:$K$129),FALSE)</f>
        <v>17</v>
      </c>
      <c r="F206" s="442"/>
      <c r="H206" s="431"/>
      <c r="I206" s="431"/>
      <c r="J206" s="431"/>
      <c r="K206" s="443"/>
      <c r="L206" s="443">
        <f>IF(L$197=$D206,$E206/$F$200/2,($E206/$F$200))</f>
        <v>0.28333333333333333</v>
      </c>
      <c r="M206" s="443">
        <f>IF(M$197=$D206,$E206/$F$200/2,($E206/$F$200))</f>
        <v>0.56666666666666665</v>
      </c>
      <c r="N206" s="443">
        <f>IF(N$197=$D206,$E206/$F$200/2,($E206/$F$200))</f>
        <v>0.56666666666666665</v>
      </c>
      <c r="O206" s="443">
        <f>IF(O$197=$D206,$E206/$F$200/2,($E206/$F$200))</f>
        <v>0.56666666666666665</v>
      </c>
    </row>
    <row r="207" spans="1:243">
      <c r="D207" s="440">
        <f>D206+1</f>
        <v>2027</v>
      </c>
      <c r="E207" s="444">
        <f t="shared" si="37"/>
        <v>17.3</v>
      </c>
      <c r="F207" s="442"/>
      <c r="H207" s="313"/>
      <c r="I207" s="313"/>
      <c r="J207" s="313"/>
      <c r="K207" s="443"/>
      <c r="L207" s="443"/>
      <c r="M207" s="443">
        <f>IF(M$197=$D207,$E207/$F$200/2,($E207/$F$200))</f>
        <v>0.28833333333333333</v>
      </c>
      <c r="N207" s="443">
        <f>IF(N$197=$D207,$E207/$F$200/2,($E207/$F$200))</f>
        <v>0.57666666666666666</v>
      </c>
      <c r="O207" s="443">
        <f>IF(O$197=$D207,$E207/$F$200/2,($E207/$F$200))</f>
        <v>0.57666666666666666</v>
      </c>
    </row>
    <row r="208" spans="1:243">
      <c r="D208" s="440">
        <f>D207+1</f>
        <v>2028</v>
      </c>
      <c r="E208" s="444">
        <f t="shared" si="37"/>
        <v>17.5</v>
      </c>
      <c r="F208" s="442"/>
      <c r="H208" s="313"/>
      <c r="I208" s="313"/>
      <c r="J208" s="313"/>
      <c r="K208" s="349"/>
      <c r="L208" s="443"/>
      <c r="M208" s="443"/>
      <c r="N208" s="443">
        <f>IF(N$197=$D208,$E208/$F$200/2,($E208/$F$200))</f>
        <v>0.29166666666666669</v>
      </c>
      <c r="O208" s="443">
        <f>IF(O$197=$D208,$E208/$F$200/2,($E208/$F$200))</f>
        <v>0.58333333333333337</v>
      </c>
    </row>
    <row r="209" spans="2:15">
      <c r="D209" s="440">
        <f>D208+1</f>
        <v>2029</v>
      </c>
      <c r="E209" s="445">
        <f t="shared" si="37"/>
        <v>18</v>
      </c>
      <c r="F209" s="442"/>
      <c r="H209" s="313"/>
      <c r="I209" s="313"/>
      <c r="J209" s="313"/>
      <c r="K209" s="349"/>
      <c r="L209" s="349"/>
      <c r="M209" s="443"/>
      <c r="N209" s="443"/>
      <c r="O209" s="443">
        <f>IF(O$197=$D209,$E209/$F$200/2,($E209/$F$200))</f>
        <v>0.3</v>
      </c>
    </row>
    <row r="211" spans="2:15" ht="14.4" thickBot="1">
      <c r="D211" s="446" t="s">
        <v>42</v>
      </c>
      <c r="H211" s="447"/>
      <c r="I211" s="447"/>
      <c r="J211" s="447"/>
      <c r="K211" s="447">
        <f>SUM(K202:K209)</f>
        <v>16.174666666666667</v>
      </c>
      <c r="L211" s="447">
        <f>SUM(L202:L209)</f>
        <v>16.724666666666668</v>
      </c>
      <c r="M211" s="447">
        <f>SUM(M202:M209)</f>
        <v>17.296333333333333</v>
      </c>
      <c r="N211" s="447">
        <f>SUM(N202:N209)</f>
        <v>17.876333333333335</v>
      </c>
      <c r="O211" s="447">
        <f>SUM(O202:O209)</f>
        <v>18.468</v>
      </c>
    </row>
    <row r="212" spans="2:15" ht="14.4" thickTop="1">
      <c r="B212" s="89"/>
      <c r="C212" s="89"/>
      <c r="D212" s="89"/>
      <c r="E212" s="89"/>
      <c r="F212" s="287"/>
      <c r="G212" s="89"/>
      <c r="H212" s="448"/>
      <c r="I212" s="448"/>
      <c r="J212" s="448"/>
      <c r="K212" s="448"/>
      <c r="L212" s="448"/>
      <c r="M212" s="448"/>
      <c r="N212" s="448"/>
      <c r="O212" s="89"/>
    </row>
    <row r="213" spans="2:15">
      <c r="F213" s="65"/>
    </row>
    <row r="214" spans="2:15" ht="12.75" customHeight="1">
      <c r="B214" s="62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288" t="str">
        <f>O191</f>
        <v>CURRENTLY RUNNING: BASE CASE SCENARIO</v>
      </c>
    </row>
    <row r="215" spans="2:15" ht="23.4">
      <c r="B215" s="62" t="str">
        <f>B2</f>
        <v>Henderson Manufacturing</v>
      </c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</row>
    <row r="216" spans="2:15" ht="18">
      <c r="B216" s="239" t="s">
        <v>49</v>
      </c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</row>
    <row r="217" spans="2:15" ht="6" customHeight="1" thickBot="1">
      <c r="B217" s="243"/>
      <c r="C217" s="243"/>
      <c r="D217" s="367"/>
      <c r="E217" s="367"/>
      <c r="F217" s="367"/>
      <c r="G217" s="367"/>
      <c r="H217" s="367"/>
      <c r="I217" s="367"/>
      <c r="J217" s="367"/>
      <c r="K217" s="367"/>
      <c r="L217" s="367"/>
      <c r="M217" s="367"/>
      <c r="N217" s="367"/>
      <c r="O217" s="367"/>
    </row>
    <row r="218" spans="2:15">
      <c r="B218" s="324" t="s">
        <v>185</v>
      </c>
      <c r="F218" s="65"/>
    </row>
    <row r="219" spans="2:15">
      <c r="F219" s="65"/>
      <c r="H219" s="401"/>
      <c r="I219" s="401"/>
      <c r="J219" s="401"/>
      <c r="K219" s="247" t="s">
        <v>2</v>
      </c>
      <c r="L219" s="119"/>
      <c r="M219" s="119"/>
      <c r="N219" s="119"/>
      <c r="O219" s="119"/>
    </row>
    <row r="220" spans="2:15">
      <c r="B220" s="449"/>
      <c r="C220" s="450" t="s">
        <v>99</v>
      </c>
      <c r="D220" s="451"/>
      <c r="E220" s="452">
        <f>Assumptions!N15</f>
        <v>0.35</v>
      </c>
      <c r="F220" s="65"/>
      <c r="H220" s="289"/>
      <c r="I220" s="289"/>
      <c r="J220" s="289"/>
      <c r="K220" s="371">
        <f>K$7</f>
        <v>2025</v>
      </c>
      <c r="L220" s="371">
        <f>L$7</f>
        <v>2026</v>
      </c>
      <c r="M220" s="371">
        <f>M$7</f>
        <v>2027</v>
      </c>
      <c r="N220" s="371">
        <f>N$7</f>
        <v>2028</v>
      </c>
      <c r="O220" s="371">
        <f>O$7</f>
        <v>2029</v>
      </c>
    </row>
    <row r="221" spans="2:15">
      <c r="F221" s="65"/>
    </row>
    <row r="222" spans="2:15">
      <c r="C222" s="250" t="s">
        <v>187</v>
      </c>
      <c r="F222" s="65"/>
      <c r="G222" s="453" t="s">
        <v>31</v>
      </c>
      <c r="H222" s="431"/>
      <c r="I222" s="431"/>
      <c r="J222" s="431"/>
      <c r="K222" s="454">
        <f ca="1">K98</f>
        <v>46.450574409044243</v>
      </c>
      <c r="L222" s="454">
        <f ca="1">L98</f>
        <v>20.498333268542979</v>
      </c>
      <c r="M222" s="454">
        <f ca="1">M98</f>
        <v>60.764103699379177</v>
      </c>
      <c r="N222" s="454">
        <f ca="1">N98</f>
        <v>52.091500007661288</v>
      </c>
      <c r="O222" s="454">
        <f ca="1">O98</f>
        <v>30.625790956994106</v>
      </c>
    </row>
    <row r="223" spans="2:15" ht="6" customHeight="1">
      <c r="E223" s="229"/>
      <c r="F223" s="229"/>
      <c r="G223" s="336"/>
      <c r="H223" s="336"/>
      <c r="I223" s="336"/>
      <c r="J223" s="336"/>
      <c r="K223" s="336"/>
      <c r="L223" s="336"/>
      <c r="M223" s="336"/>
      <c r="N223" s="336"/>
      <c r="O223" s="336"/>
    </row>
    <row r="224" spans="2:15" ht="15">
      <c r="D224" s="65" t="s">
        <v>201</v>
      </c>
      <c r="F224" s="65"/>
      <c r="K224" s="455">
        <f>Assumptions!J48</f>
        <v>5</v>
      </c>
      <c r="L224" s="455">
        <f>Assumptions!K48</f>
        <v>5</v>
      </c>
      <c r="M224" s="455">
        <f>Assumptions!L48</f>
        <v>5</v>
      </c>
      <c r="N224" s="455">
        <f>Assumptions!M48</f>
        <v>5</v>
      </c>
      <c r="O224" s="455">
        <f>Assumptions!N48</f>
        <v>5</v>
      </c>
    </row>
    <row r="225" spans="2:16">
      <c r="C225" s="250" t="s">
        <v>188</v>
      </c>
      <c r="D225" s="250"/>
      <c r="F225" s="229"/>
      <c r="G225" s="453" t="s">
        <v>32</v>
      </c>
      <c r="H225" s="456"/>
      <c r="I225" s="456"/>
      <c r="J225" s="456"/>
      <c r="K225" s="454">
        <f ca="1">K222-K224</f>
        <v>41.450574409044243</v>
      </c>
      <c r="L225" s="454">
        <f ca="1">L222-L224</f>
        <v>15.498333268542979</v>
      </c>
      <c r="M225" s="454">
        <f ca="1">M222-M224</f>
        <v>55.764103699379177</v>
      </c>
      <c r="N225" s="454">
        <f ca="1">N222-N224</f>
        <v>47.091500007661288</v>
      </c>
      <c r="O225" s="454">
        <f ca="1">O222-O224</f>
        <v>25.625790956994106</v>
      </c>
    </row>
    <row r="226" spans="2:16">
      <c r="E226" s="277"/>
      <c r="F226" s="65"/>
      <c r="H226" s="431"/>
      <c r="I226" s="431"/>
      <c r="J226" s="431"/>
      <c r="K226" s="443"/>
      <c r="L226" s="443"/>
      <c r="M226" s="443"/>
      <c r="N226" s="443"/>
      <c r="O226" s="443"/>
      <c r="P226" s="349"/>
    </row>
    <row r="227" spans="2:16">
      <c r="D227" s="115" t="str">
        <f>CONCATENATE("Accounting Taxes (",$E$220*100,"% of A)")</f>
        <v>Accounting Taxes (35% of A)</v>
      </c>
      <c r="E227" s="229"/>
      <c r="F227" s="336"/>
      <c r="G227" s="336"/>
      <c r="H227" s="431"/>
      <c r="I227" s="431"/>
      <c r="J227" s="431"/>
      <c r="K227" s="443">
        <f ca="1">$E$220*K222</f>
        <v>16.257701043165483</v>
      </c>
      <c r="L227" s="443">
        <f ca="1">$E$220*L222</f>
        <v>7.1744166439900416</v>
      </c>
      <c r="M227" s="443">
        <f ca="1">$E$220*M222</f>
        <v>21.267436294782712</v>
      </c>
      <c r="N227" s="443">
        <f ca="1">$E$220*N222</f>
        <v>18.23202500268145</v>
      </c>
      <c r="O227" s="443">
        <f ca="1">$E$220*O222</f>
        <v>10.719026834947936</v>
      </c>
    </row>
    <row r="228" spans="2:16">
      <c r="F228" s="457"/>
      <c r="H228" s="431"/>
      <c r="I228" s="431"/>
      <c r="J228" s="431"/>
      <c r="K228" s="431"/>
      <c r="L228" s="431"/>
      <c r="M228" s="431"/>
      <c r="N228" s="431"/>
      <c r="O228" s="431"/>
    </row>
    <row r="229" spans="2:16">
      <c r="D229" s="355" t="s">
        <v>100</v>
      </c>
      <c r="E229" s="458"/>
      <c r="F229" s="459"/>
      <c r="G229" s="459"/>
      <c r="H229" s="459"/>
      <c r="I229" s="459"/>
      <c r="J229" s="459"/>
      <c r="K229" s="459"/>
      <c r="L229" s="459"/>
      <c r="M229" s="459"/>
      <c r="N229" s="459"/>
      <c r="O229" s="460"/>
    </row>
    <row r="230" spans="2:16">
      <c r="D230" s="128" t="str">
        <f>CONCATENATE("Current Tax (",$E$220*100,"% of B)")</f>
        <v>Current Tax (35% of B)</v>
      </c>
      <c r="E230" s="229"/>
      <c r="F230" s="336"/>
      <c r="G230" s="461"/>
      <c r="H230" s="431"/>
      <c r="I230" s="431"/>
      <c r="J230" s="431"/>
      <c r="K230" s="443">
        <f ca="1">$E$220*K225</f>
        <v>14.507701043165484</v>
      </c>
      <c r="L230" s="443">
        <f ca="1">$E$220*L225</f>
        <v>5.4244166439900425</v>
      </c>
      <c r="M230" s="443">
        <f ca="1">$E$220*M225</f>
        <v>19.517436294782712</v>
      </c>
      <c r="N230" s="443">
        <f ca="1">$E$220*N225</f>
        <v>16.48202500268145</v>
      </c>
      <c r="O230" s="462">
        <f ca="1">$E$220*O225</f>
        <v>8.9690268349479361</v>
      </c>
    </row>
    <row r="231" spans="2:16">
      <c r="D231" s="78" t="s">
        <v>159</v>
      </c>
      <c r="E231" s="229"/>
      <c r="F231" s="336"/>
      <c r="G231" s="336"/>
      <c r="H231" s="431"/>
      <c r="I231" s="431"/>
      <c r="J231" s="431"/>
      <c r="K231" s="463">
        <f ca="1">K227-K230</f>
        <v>1.7499999999999982</v>
      </c>
      <c r="L231" s="463">
        <f ca="1">L227-L230</f>
        <v>1.7499999999999991</v>
      </c>
      <c r="M231" s="463">
        <f ca="1">M227-M230</f>
        <v>1.75</v>
      </c>
      <c r="N231" s="463">
        <f ca="1">N227-N230</f>
        <v>1.75</v>
      </c>
      <c r="O231" s="464">
        <f ca="1">O227-O230</f>
        <v>1.75</v>
      </c>
    </row>
    <row r="232" spans="2:16">
      <c r="D232" s="465" t="s">
        <v>101</v>
      </c>
      <c r="E232" s="466"/>
      <c r="F232" s="467"/>
      <c r="G232" s="467"/>
      <c r="H232" s="468"/>
      <c r="I232" s="468"/>
      <c r="J232" s="468"/>
      <c r="K232" s="469">
        <f ca="1">SUM(K230:K231)</f>
        <v>16.257701043165483</v>
      </c>
      <c r="L232" s="469">
        <f ca="1">SUM(L230:L231)</f>
        <v>7.1744166439900416</v>
      </c>
      <c r="M232" s="469">
        <f ca="1">SUM(M230:M231)</f>
        <v>21.267436294782712</v>
      </c>
      <c r="N232" s="469">
        <f ca="1">SUM(N230:N231)</f>
        <v>18.23202500268145</v>
      </c>
      <c r="O232" s="470">
        <f ca="1">SUM(O230:O231)</f>
        <v>10.719026834947936</v>
      </c>
    </row>
    <row r="233" spans="2:16">
      <c r="E233" s="229"/>
      <c r="F233" s="336"/>
      <c r="G233" s="336"/>
      <c r="H233" s="336"/>
      <c r="I233" s="336"/>
      <c r="J233" s="336"/>
      <c r="K233" s="336"/>
      <c r="L233" s="336"/>
      <c r="M233" s="336"/>
      <c r="N233" s="336"/>
      <c r="O233" s="336"/>
    </row>
    <row r="234" spans="2:16">
      <c r="C234" s="471" t="s">
        <v>189</v>
      </c>
      <c r="E234" s="229"/>
      <c r="F234" s="336"/>
      <c r="G234" s="336"/>
      <c r="H234" s="336"/>
      <c r="I234" s="336"/>
      <c r="J234" s="336"/>
      <c r="K234" s="336"/>
      <c r="L234" s="336"/>
      <c r="M234" s="336"/>
      <c r="N234" s="336"/>
      <c r="O234" s="336"/>
    </row>
    <row r="235" spans="2:16" ht="6" customHeight="1">
      <c r="B235" s="89"/>
      <c r="C235" s="89"/>
      <c r="D235" s="89"/>
      <c r="E235" s="472"/>
      <c r="F235" s="472"/>
      <c r="G235" s="473"/>
      <c r="H235" s="473"/>
      <c r="I235" s="473"/>
      <c r="J235" s="473"/>
      <c r="K235" s="473"/>
      <c r="L235" s="473"/>
      <c r="M235" s="473"/>
      <c r="N235" s="473"/>
      <c r="O235" s="89"/>
    </row>
    <row r="237" spans="2:16" ht="12.75" customHeight="1">
      <c r="B237" s="62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288" t="str">
        <f>O214</f>
        <v>CURRENTLY RUNNING: BASE CASE SCENARIO</v>
      </c>
    </row>
    <row r="238" spans="2:16" ht="23.4">
      <c r="B238" s="62" t="str">
        <f>B2</f>
        <v>Henderson Manufacturing</v>
      </c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</row>
    <row r="239" spans="2:16" ht="18">
      <c r="B239" s="239" t="s">
        <v>50</v>
      </c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</row>
    <row r="240" spans="2:16" ht="6" customHeight="1" thickBot="1">
      <c r="B240" s="243"/>
      <c r="C240" s="367"/>
      <c r="D240" s="367"/>
      <c r="E240" s="367"/>
      <c r="F240" s="367"/>
      <c r="G240" s="367"/>
      <c r="H240" s="367"/>
      <c r="I240" s="367"/>
      <c r="J240" s="367"/>
      <c r="K240" s="367"/>
      <c r="L240" s="367"/>
      <c r="M240" s="367"/>
      <c r="N240" s="367"/>
      <c r="O240" s="367"/>
    </row>
    <row r="241" spans="2:15">
      <c r="B241" s="324" t="s">
        <v>185</v>
      </c>
      <c r="F241" s="65"/>
      <c r="O241" s="115"/>
    </row>
    <row r="242" spans="2:15">
      <c r="F242" s="65"/>
      <c r="H242" s="64"/>
      <c r="I242" s="64"/>
      <c r="J242" s="64"/>
      <c r="K242" s="247" t="s">
        <v>2</v>
      </c>
      <c r="L242" s="119"/>
      <c r="M242" s="119"/>
      <c r="N242" s="119"/>
      <c r="O242" s="119"/>
    </row>
    <row r="243" spans="2:15" ht="12" customHeight="1">
      <c r="F243" s="65"/>
      <c r="G243" s="370"/>
      <c r="H243" s="248">
        <f>H7</f>
        <v>2022</v>
      </c>
      <c r="I243" s="248">
        <f>I7</f>
        <v>2023</v>
      </c>
      <c r="J243" s="248">
        <f>J7</f>
        <v>2024</v>
      </c>
      <c r="K243" s="371">
        <f>K$7</f>
        <v>2025</v>
      </c>
      <c r="L243" s="371">
        <f>L$7</f>
        <v>2026</v>
      </c>
      <c r="M243" s="371">
        <f>M$7</f>
        <v>2027</v>
      </c>
      <c r="N243" s="371">
        <f>N$7</f>
        <v>2028</v>
      </c>
      <c r="O243" s="371">
        <f>O$7</f>
        <v>2029</v>
      </c>
    </row>
    <row r="244" spans="2:15" ht="12" customHeight="1">
      <c r="F244" s="65"/>
    </row>
    <row r="245" spans="2:15">
      <c r="B245" s="326" t="s">
        <v>111</v>
      </c>
      <c r="C245" s="327"/>
      <c r="D245" s="327"/>
      <c r="E245" s="327"/>
      <c r="F245" s="474" t="s">
        <v>63</v>
      </c>
      <c r="G245" s="327"/>
      <c r="H245" s="327"/>
      <c r="I245" s="475">
        <f t="shared" ref="I245:O245" si="38">DATE(I243,12,31)-DATE(H243,12,31)</f>
        <v>365</v>
      </c>
      <c r="J245" s="475">
        <f t="shared" si="38"/>
        <v>366</v>
      </c>
      <c r="K245" s="475">
        <f t="shared" si="38"/>
        <v>365</v>
      </c>
      <c r="L245" s="475">
        <f t="shared" si="38"/>
        <v>365</v>
      </c>
      <c r="M245" s="475">
        <f t="shared" si="38"/>
        <v>365</v>
      </c>
      <c r="N245" s="475">
        <f t="shared" si="38"/>
        <v>366</v>
      </c>
      <c r="O245" s="476">
        <f t="shared" si="38"/>
        <v>365</v>
      </c>
    </row>
    <row r="246" spans="2:15">
      <c r="F246" s="251"/>
    </row>
    <row r="247" spans="2:15">
      <c r="B247" s="277" t="s">
        <v>154</v>
      </c>
      <c r="F247" s="251"/>
    </row>
    <row r="248" spans="2:15">
      <c r="C248" s="65" t="s">
        <v>3</v>
      </c>
      <c r="F248" s="251" t="s">
        <v>184</v>
      </c>
      <c r="I248" s="477">
        <f t="shared" ref="I248:O248" si="39">I85</f>
        <v>236.60000000000002</v>
      </c>
      <c r="J248" s="477">
        <f t="shared" si="39"/>
        <v>204.79999999999998</v>
      </c>
      <c r="K248" s="477">
        <f t="shared" si="39"/>
        <v>252.4475548643511</v>
      </c>
      <c r="L248" s="477">
        <f t="shared" si="39"/>
        <v>233.56766048038708</v>
      </c>
      <c r="M248" s="477">
        <f t="shared" si="39"/>
        <v>281.21490954086062</v>
      </c>
      <c r="N248" s="477">
        <f t="shared" si="39"/>
        <v>281.21335544026533</v>
      </c>
      <c r="O248" s="477">
        <f t="shared" si="39"/>
        <v>268.17287049000004</v>
      </c>
    </row>
    <row r="249" spans="2:15">
      <c r="C249" s="65" t="s">
        <v>4</v>
      </c>
      <c r="F249" s="251" t="s">
        <v>184</v>
      </c>
      <c r="I249" s="477">
        <f t="shared" ref="I249:O249" si="40">I87</f>
        <v>164.6</v>
      </c>
      <c r="J249" s="477">
        <f t="shared" si="40"/>
        <v>167.9</v>
      </c>
      <c r="K249" s="477">
        <f t="shared" si="40"/>
        <v>174.6807672369103</v>
      </c>
      <c r="L249" s="477">
        <f t="shared" si="40"/>
        <v>182.48615788491449</v>
      </c>
      <c r="M249" s="477">
        <f t="shared" si="40"/>
        <v>190.70981228431728</v>
      </c>
      <c r="N249" s="477">
        <f t="shared" si="40"/>
        <v>200.35336829508219</v>
      </c>
      <c r="O249" s="477">
        <f t="shared" si="40"/>
        <v>209.56780061099997</v>
      </c>
    </row>
    <row r="250" spans="2:15">
      <c r="F250" s="251"/>
    </row>
    <row r="251" spans="2:15">
      <c r="B251" s="478" t="s">
        <v>27</v>
      </c>
      <c r="C251" s="479"/>
      <c r="F251" s="251"/>
    </row>
    <row r="252" spans="2:15">
      <c r="B252" s="480"/>
      <c r="C252" s="479" t="s">
        <v>14</v>
      </c>
      <c r="F252" s="251" t="s">
        <v>63</v>
      </c>
      <c r="G252" s="481"/>
      <c r="H252" s="482"/>
      <c r="I252" s="477">
        <f>I260/I248*I245</f>
        <v>42.886728655959423</v>
      </c>
      <c r="J252" s="477">
        <f>J260/J248*J245</f>
        <v>50.575195312500007</v>
      </c>
      <c r="K252" s="483">
        <f>Assumptions!J51</f>
        <v>45</v>
      </c>
      <c r="L252" s="483">
        <f>Assumptions!K51</f>
        <v>40</v>
      </c>
      <c r="M252" s="483">
        <f>Assumptions!L51</f>
        <v>40</v>
      </c>
      <c r="N252" s="483">
        <f>Assumptions!M51</f>
        <v>40</v>
      </c>
      <c r="O252" s="483">
        <f>Assumptions!N51</f>
        <v>40</v>
      </c>
    </row>
    <row r="253" spans="2:15">
      <c r="B253" s="480"/>
      <c r="C253" s="484" t="s">
        <v>28</v>
      </c>
      <c r="F253" s="251" t="s">
        <v>63</v>
      </c>
      <c r="G253" s="481"/>
      <c r="H253" s="482"/>
      <c r="I253" s="477">
        <f>I261/I249*I245</f>
        <v>80.051640340218725</v>
      </c>
      <c r="J253" s="477">
        <f>J261/J249*J245</f>
        <v>76.513400833829664</v>
      </c>
      <c r="K253" s="483">
        <f>Assumptions!J52</f>
        <v>70</v>
      </c>
      <c r="L253" s="483">
        <f>Assumptions!K52</f>
        <v>65</v>
      </c>
      <c r="M253" s="483">
        <f>Assumptions!L52</f>
        <v>60</v>
      </c>
      <c r="N253" s="483">
        <f>Assumptions!M52</f>
        <v>60</v>
      </c>
      <c r="O253" s="483">
        <f>Assumptions!N52</f>
        <v>55</v>
      </c>
    </row>
    <row r="254" spans="2:15">
      <c r="B254" s="480"/>
      <c r="C254" s="484" t="s">
        <v>177</v>
      </c>
      <c r="F254" s="251" t="s">
        <v>63</v>
      </c>
      <c r="G254" s="485"/>
      <c r="H254" s="486"/>
      <c r="I254" s="284">
        <f>I262/I249*I245</f>
        <v>31.93195625759417</v>
      </c>
      <c r="J254" s="284">
        <f>J262/J249*J245</f>
        <v>32.480047647409172</v>
      </c>
      <c r="K254" s="487">
        <f>Assumptions!J53</f>
        <v>30</v>
      </c>
      <c r="L254" s="487">
        <f>Assumptions!K53</f>
        <v>30</v>
      </c>
      <c r="M254" s="487">
        <f>Assumptions!L53</f>
        <v>30</v>
      </c>
      <c r="N254" s="487">
        <f>Assumptions!M53</f>
        <v>30</v>
      </c>
      <c r="O254" s="487">
        <f>Assumptions!N53</f>
        <v>30</v>
      </c>
    </row>
    <row r="255" spans="2:15">
      <c r="B255" s="480"/>
      <c r="C255" s="484" t="s">
        <v>178</v>
      </c>
      <c r="F255" s="251" t="s">
        <v>63</v>
      </c>
      <c r="G255" s="485"/>
      <c r="H255" s="486"/>
      <c r="I255" s="284">
        <f>I263/I249*I245</f>
        <v>3.9914945321992712</v>
      </c>
      <c r="J255" s="284">
        <f>J263/J249*J245</f>
        <v>2.6158427635497321</v>
      </c>
      <c r="K255" s="487">
        <f>Assumptions!J54</f>
        <v>3</v>
      </c>
      <c r="L255" s="487">
        <f>Assumptions!K54</f>
        <v>3</v>
      </c>
      <c r="M255" s="487">
        <f>Assumptions!L54</f>
        <v>3</v>
      </c>
      <c r="N255" s="487">
        <f>Assumptions!M54</f>
        <v>3</v>
      </c>
      <c r="O255" s="487">
        <f>Assumptions!N54</f>
        <v>3</v>
      </c>
    </row>
    <row r="256" spans="2:15">
      <c r="B256" s="480"/>
      <c r="C256" s="479" t="s">
        <v>20</v>
      </c>
      <c r="F256" s="251" t="s">
        <v>63</v>
      </c>
      <c r="G256" s="485"/>
      <c r="H256" s="486"/>
      <c r="I256" s="284">
        <f>I264/I249*I245</f>
        <v>41.467193195625768</v>
      </c>
      <c r="J256" s="284">
        <f>J264/J249*J245</f>
        <v>39.673615247170936</v>
      </c>
      <c r="K256" s="487">
        <f>Assumptions!J55</f>
        <v>40</v>
      </c>
      <c r="L256" s="487">
        <f>Assumptions!K55</f>
        <v>40</v>
      </c>
      <c r="M256" s="487">
        <f>Assumptions!L55</f>
        <v>40</v>
      </c>
      <c r="N256" s="487">
        <f>Assumptions!M55</f>
        <v>40</v>
      </c>
      <c r="O256" s="487">
        <f>Assumptions!N55</f>
        <v>40</v>
      </c>
    </row>
    <row r="257" spans="2:15">
      <c r="B257" s="480"/>
      <c r="C257" s="479" t="s">
        <v>179</v>
      </c>
      <c r="F257" s="251" t="s">
        <v>63</v>
      </c>
      <c r="G257" s="485"/>
      <c r="H257" s="486"/>
      <c r="I257" s="284">
        <f>I265/I249*I245</f>
        <v>10.865735115431351</v>
      </c>
      <c r="J257" s="284">
        <f>J265/J249*J245</f>
        <v>10.463371054198928</v>
      </c>
      <c r="K257" s="487">
        <f>Assumptions!J56</f>
        <v>10</v>
      </c>
      <c r="L257" s="487">
        <f>Assumptions!K56</f>
        <v>10</v>
      </c>
      <c r="M257" s="487">
        <f>Assumptions!L56</f>
        <v>10</v>
      </c>
      <c r="N257" s="487">
        <f>Assumptions!M56</f>
        <v>10</v>
      </c>
      <c r="O257" s="487">
        <f>Assumptions!N56</f>
        <v>10</v>
      </c>
    </row>
    <row r="258" spans="2:15">
      <c r="B258" s="480"/>
      <c r="C258" s="479"/>
      <c r="F258" s="251"/>
      <c r="H258" s="440"/>
      <c r="I258" s="440"/>
      <c r="J258" s="440"/>
      <c r="K258" s="440"/>
      <c r="L258" s="440"/>
      <c r="M258" s="440"/>
      <c r="N258" s="440"/>
      <c r="O258" s="440"/>
    </row>
    <row r="259" spans="2:15">
      <c r="B259" s="478" t="s">
        <v>29</v>
      </c>
      <c r="C259" s="479"/>
      <c r="F259" s="251"/>
      <c r="H259" s="440"/>
      <c r="I259" s="440"/>
      <c r="J259" s="440"/>
      <c r="K259" s="440"/>
      <c r="L259" s="440"/>
      <c r="M259" s="440"/>
      <c r="N259" s="440"/>
      <c r="O259" s="440"/>
    </row>
    <row r="260" spans="2:15">
      <c r="B260" s="480"/>
      <c r="C260" s="479" t="s">
        <v>14</v>
      </c>
      <c r="F260" s="251" t="s">
        <v>184</v>
      </c>
      <c r="I260" s="284">
        <f t="shared" ref="I260:J263" si="41">I157</f>
        <v>27.8</v>
      </c>
      <c r="J260" s="284">
        <f t="shared" si="41"/>
        <v>28.3</v>
      </c>
      <c r="K260" s="284">
        <f>K248/K245*K252</f>
        <v>31.123671147659724</v>
      </c>
      <c r="L260" s="284">
        <f>L248/L245*L252</f>
        <v>25.596455943056121</v>
      </c>
      <c r="M260" s="284">
        <f>M248/M245*M252</f>
        <v>30.818072278450476</v>
      </c>
      <c r="N260" s="284">
        <f>N248/N245*N252</f>
        <v>30.733700048116429</v>
      </c>
      <c r="O260" s="284">
        <f>O248/O245*O252</f>
        <v>29.38880772493151</v>
      </c>
    </row>
    <row r="261" spans="2:15">
      <c r="B261" s="480"/>
      <c r="C261" s="484" t="s">
        <v>28</v>
      </c>
      <c r="F261" s="251" t="s">
        <v>184</v>
      </c>
      <c r="I261" s="284">
        <f t="shared" si="41"/>
        <v>36.1</v>
      </c>
      <c r="J261" s="284">
        <f t="shared" si="41"/>
        <v>35.1</v>
      </c>
      <c r="K261" s="284">
        <f>K249/K245*K253</f>
        <v>33.500421113928006</v>
      </c>
      <c r="L261" s="284">
        <f>L249/L245*L253</f>
        <v>32.497534965806693</v>
      </c>
      <c r="M261" s="284">
        <f>M249/M245*M253</f>
        <v>31.349558183723389</v>
      </c>
      <c r="N261" s="284">
        <f>N249/N245*N253</f>
        <v>32.844814474603638</v>
      </c>
      <c r="O261" s="284">
        <f>O249/O245*O253</f>
        <v>31.578709681109586</v>
      </c>
    </row>
    <row r="262" spans="2:15">
      <c r="B262" s="480"/>
      <c r="C262" s="484" t="s">
        <v>177</v>
      </c>
      <c r="F262" s="251" t="s">
        <v>184</v>
      </c>
      <c r="I262" s="284">
        <f t="shared" si="41"/>
        <v>14.4</v>
      </c>
      <c r="J262" s="284">
        <f t="shared" si="41"/>
        <v>14.9</v>
      </c>
      <c r="K262" s="284">
        <f>K249/K245*K254</f>
        <v>14.357323334540572</v>
      </c>
      <c r="L262" s="284">
        <f>L249/L245*L254</f>
        <v>14.998862291910781</v>
      </c>
      <c r="M262" s="284">
        <f>M249/M245*M254</f>
        <v>15.674779091861694</v>
      </c>
      <c r="N262" s="284">
        <f>N249/N245*N254</f>
        <v>16.422407237301819</v>
      </c>
      <c r="O262" s="284">
        <f>O249/O245*O254</f>
        <v>17.224750735150682</v>
      </c>
    </row>
    <row r="263" spans="2:15">
      <c r="B263" s="480"/>
      <c r="C263" s="484" t="s">
        <v>178</v>
      </c>
      <c r="F263" s="251" t="s">
        <v>184</v>
      </c>
      <c r="I263" s="284">
        <f t="shared" si="41"/>
        <v>1.8</v>
      </c>
      <c r="J263" s="284">
        <f t="shared" si="41"/>
        <v>1.2</v>
      </c>
      <c r="K263" s="284">
        <f>K249/K245*K255</f>
        <v>1.4357323334540573</v>
      </c>
      <c r="L263" s="284">
        <f>L249/L245*L255</f>
        <v>1.4998862291910779</v>
      </c>
      <c r="M263" s="284">
        <f>M249/M245*M255</f>
        <v>1.5674779091861692</v>
      </c>
      <c r="N263" s="284">
        <f>N249/N245*N255</f>
        <v>1.6422407237301822</v>
      </c>
      <c r="O263" s="284">
        <f>O249/O245*O255</f>
        <v>1.7224750735150685</v>
      </c>
    </row>
    <row r="264" spans="2:15">
      <c r="B264" s="480"/>
      <c r="C264" s="479" t="s">
        <v>20</v>
      </c>
      <c r="F264" s="251" t="s">
        <v>184</v>
      </c>
      <c r="I264" s="283">
        <f>I172</f>
        <v>18.700000000000003</v>
      </c>
      <c r="J264" s="283">
        <f>J172</f>
        <v>18.2</v>
      </c>
      <c r="K264" s="283">
        <f>K249/K245*K256</f>
        <v>19.143097779387432</v>
      </c>
      <c r="L264" s="283">
        <f>L249/L245*L256</f>
        <v>19.998483055881039</v>
      </c>
      <c r="M264" s="283">
        <f>M249/M245*M256</f>
        <v>20.899705455815592</v>
      </c>
      <c r="N264" s="283">
        <f>N249/N245*N256</f>
        <v>21.896542983069093</v>
      </c>
      <c r="O264" s="283">
        <f>O249/O245*O256</f>
        <v>22.966334313534244</v>
      </c>
    </row>
    <row r="265" spans="2:15">
      <c r="B265" s="480"/>
      <c r="C265" s="479" t="s">
        <v>179</v>
      </c>
      <c r="F265" s="251" t="s">
        <v>184</v>
      </c>
      <c r="I265" s="488">
        <f>I173</f>
        <v>4.9000000000000004</v>
      </c>
      <c r="J265" s="488">
        <f>J173</f>
        <v>4.8</v>
      </c>
      <c r="K265" s="488">
        <f>K249/K245*K257</f>
        <v>4.785774444846858</v>
      </c>
      <c r="L265" s="488">
        <f>L249/L245*L257</f>
        <v>4.9996207639702597</v>
      </c>
      <c r="M265" s="488">
        <f>M249/M245*M257</f>
        <v>5.2249263639538981</v>
      </c>
      <c r="N265" s="488">
        <f>N249/N245*N257</f>
        <v>5.4741357457672732</v>
      </c>
      <c r="O265" s="488">
        <f>O249/O245*O257</f>
        <v>5.7415835783835609</v>
      </c>
    </row>
    <row r="266" spans="2:15">
      <c r="B266" s="480"/>
      <c r="C266" s="489" t="s">
        <v>30</v>
      </c>
      <c r="D266" s="277"/>
      <c r="E266" s="277"/>
      <c r="F266" s="278" t="s">
        <v>184</v>
      </c>
      <c r="I266" s="490">
        <f>I260+I261+I262+I263-I264-I265</f>
        <v>56.500000000000007</v>
      </c>
      <c r="J266" s="490">
        <f t="shared" ref="J266:O266" si="42">J260+J261+J262+J263-J264-J265</f>
        <v>56.500000000000014</v>
      </c>
      <c r="K266" s="490">
        <f t="shared" si="42"/>
        <v>56.488275705348066</v>
      </c>
      <c r="L266" s="490">
        <f t="shared" si="42"/>
        <v>49.594635610113372</v>
      </c>
      <c r="M266" s="490">
        <f t="shared" si="42"/>
        <v>53.285255643452231</v>
      </c>
      <c r="N266" s="490">
        <f t="shared" si="42"/>
        <v>54.272483754915712</v>
      </c>
      <c r="O266" s="490">
        <f t="shared" si="42"/>
        <v>51.206825322789037</v>
      </c>
    </row>
    <row r="267" spans="2:15">
      <c r="B267" s="480"/>
      <c r="C267" s="479"/>
      <c r="F267" s="251"/>
      <c r="H267" s="440"/>
      <c r="I267" s="440"/>
      <c r="J267" s="440"/>
      <c r="K267" s="440"/>
      <c r="L267" s="440"/>
      <c r="M267" s="440"/>
      <c r="N267" s="440"/>
      <c r="O267" s="440"/>
    </row>
    <row r="268" spans="2:15" ht="14.4" thickBot="1">
      <c r="B268" s="489" t="s">
        <v>118</v>
      </c>
      <c r="C268" s="480"/>
      <c r="F268" s="278" t="s">
        <v>184</v>
      </c>
      <c r="H268" s="440"/>
      <c r="I268" s="440"/>
      <c r="J268" s="491">
        <f t="shared" ref="J268:O268" si="43">I266-J266</f>
        <v>0</v>
      </c>
      <c r="K268" s="491">
        <f t="shared" si="43"/>
        <v>1.1724294651948242E-2</v>
      </c>
      <c r="L268" s="491">
        <f t="shared" si="43"/>
        <v>6.8936400952346943</v>
      </c>
      <c r="M268" s="491">
        <f t="shared" si="43"/>
        <v>-3.6906200333388597</v>
      </c>
      <c r="N268" s="491">
        <f t="shared" si="43"/>
        <v>-0.98722811146348022</v>
      </c>
      <c r="O268" s="491">
        <f t="shared" si="43"/>
        <v>3.0656584321266749</v>
      </c>
    </row>
    <row r="269" spans="2:15" ht="14.4" thickTop="1">
      <c r="B269" s="89"/>
      <c r="C269" s="492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</row>
    <row r="271" spans="2:15" ht="12.75" customHeight="1">
      <c r="B271" s="62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288" t="str">
        <f>O237</f>
        <v>CURRENTLY RUNNING: BASE CASE SCENARIO</v>
      </c>
    </row>
    <row r="272" spans="2:15" ht="23.4">
      <c r="B272" s="62" t="str">
        <f>B2</f>
        <v>Henderson Manufacturing</v>
      </c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</row>
    <row r="273" spans="2:15" ht="18">
      <c r="B273" s="239" t="s">
        <v>65</v>
      </c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</row>
    <row r="274" spans="2:15" ht="6" customHeight="1" thickBot="1">
      <c r="B274" s="243"/>
      <c r="C274" s="367"/>
      <c r="D274" s="367"/>
      <c r="E274" s="367"/>
      <c r="F274" s="367"/>
      <c r="G274" s="367"/>
      <c r="H274" s="367"/>
      <c r="I274" s="367"/>
      <c r="J274" s="367"/>
      <c r="K274" s="367"/>
      <c r="L274" s="367"/>
      <c r="M274" s="367"/>
      <c r="N274" s="367"/>
      <c r="O274" s="367"/>
    </row>
    <row r="275" spans="2:15">
      <c r="B275" s="324" t="s">
        <v>185</v>
      </c>
      <c r="F275" s="65"/>
      <c r="O275" s="115"/>
    </row>
    <row r="276" spans="2:15">
      <c r="F276" s="65"/>
      <c r="H276" s="64"/>
      <c r="I276" s="64"/>
      <c r="J276" s="64"/>
      <c r="K276" s="247" t="s">
        <v>2</v>
      </c>
      <c r="L276" s="119"/>
      <c r="M276" s="119"/>
      <c r="N276" s="119"/>
      <c r="O276" s="119"/>
    </row>
    <row r="277" spans="2:15">
      <c r="F277" s="65"/>
      <c r="G277" s="370"/>
      <c r="H277" s="248"/>
      <c r="I277" s="248"/>
      <c r="J277" s="248">
        <f>$J$7</f>
        <v>2024</v>
      </c>
      <c r="K277" s="371">
        <f>K$7</f>
        <v>2025</v>
      </c>
      <c r="L277" s="371">
        <f>L$7</f>
        <v>2026</v>
      </c>
      <c r="M277" s="371">
        <f>M$7</f>
        <v>2027</v>
      </c>
      <c r="N277" s="371">
        <f>N$7</f>
        <v>2028</v>
      </c>
      <c r="O277" s="371">
        <f>O$7</f>
        <v>2029</v>
      </c>
    </row>
    <row r="278" spans="2:15" ht="6" customHeight="1"/>
    <row r="279" spans="2:15">
      <c r="B279" s="277" t="s">
        <v>133</v>
      </c>
      <c r="K279" s="493"/>
      <c r="L279" s="493"/>
      <c r="M279" s="493"/>
      <c r="N279" s="493"/>
      <c r="O279" s="493"/>
    </row>
    <row r="280" spans="2:15" ht="6" customHeight="1"/>
    <row r="281" spans="2:15">
      <c r="C281" s="277" t="s">
        <v>13</v>
      </c>
    </row>
    <row r="282" spans="2:15">
      <c r="D282" s="65" t="s">
        <v>67</v>
      </c>
      <c r="K282" s="349">
        <f>J284</f>
        <v>0.3</v>
      </c>
      <c r="L282" s="349">
        <f ca="1">K284</f>
        <v>1.3906896540216238</v>
      </c>
      <c r="M282" s="349">
        <f ca="1">L284</f>
        <v>-4.2188474935755949E-15</v>
      </c>
      <c r="N282" s="349">
        <f ca="1">M284</f>
        <v>7.1176940442551073E-2</v>
      </c>
      <c r="O282" s="349">
        <f ca="1">N284</f>
        <v>3.2978622110611182</v>
      </c>
    </row>
    <row r="283" spans="2:15">
      <c r="D283" s="65" t="s">
        <v>73</v>
      </c>
      <c r="J283" s="89"/>
      <c r="K283" s="494">
        <f ca="1">K142</f>
        <v>1.0906896540216238</v>
      </c>
      <c r="L283" s="494">
        <f ca="1">L142</f>
        <v>-1.390689654021628</v>
      </c>
      <c r="M283" s="494">
        <f ca="1">M142</f>
        <v>7.117693912005052E-2</v>
      </c>
      <c r="N283" s="494">
        <f ca="1">N142</f>
        <v>3.226685233038566</v>
      </c>
      <c r="O283" s="494">
        <f ca="1">O142</f>
        <v>-3.2978232858763477</v>
      </c>
    </row>
    <row r="284" spans="2:15">
      <c r="D284" s="65" t="s">
        <v>69</v>
      </c>
      <c r="I284" s="495"/>
      <c r="J284" s="438">
        <f>J156</f>
        <v>0.3</v>
      </c>
      <c r="K284" s="438">
        <f ca="1">SUM(K282:K283)</f>
        <v>1.3906896540216238</v>
      </c>
      <c r="L284" s="438">
        <f ca="1">SUM(L282:L283)</f>
        <v>-4.2188474935755949E-15</v>
      </c>
      <c r="M284" s="438">
        <f ca="1">SUM(M282:M283)</f>
        <v>7.1176939120046301E-2</v>
      </c>
      <c r="N284" s="438">
        <f ca="1">SUM(N282:N283)</f>
        <v>3.2978621734811169</v>
      </c>
      <c r="O284" s="438">
        <f ca="1">SUM(O282:O283)</f>
        <v>3.8925184770555177E-5</v>
      </c>
    </row>
    <row r="285" spans="2:15" ht="6" customHeight="1"/>
    <row r="286" spans="2:15">
      <c r="D286" s="65" t="s">
        <v>70</v>
      </c>
      <c r="K286" s="496">
        <f>Assumptions!N21</f>
        <v>0.01</v>
      </c>
      <c r="L286" s="497">
        <f>K286</f>
        <v>0.01</v>
      </c>
      <c r="M286" s="497">
        <f>L286</f>
        <v>0.01</v>
      </c>
      <c r="N286" s="497">
        <f>M286</f>
        <v>0.01</v>
      </c>
      <c r="O286" s="497">
        <f>N286</f>
        <v>0.01</v>
      </c>
    </row>
    <row r="287" spans="2:15">
      <c r="D287" s="277" t="s">
        <v>72</v>
      </c>
      <c r="K287" s="498">
        <f ca="1">K286*AVERAGE(K284,K282)</f>
        <v>8.4534482701081187E-3</v>
      </c>
      <c r="L287" s="498">
        <f ca="1">L286*AVERAGE(L284,L282)</f>
        <v>6.9534482701080983E-3</v>
      </c>
      <c r="M287" s="498">
        <f ca="1">M286*AVERAGE(M284,M282)</f>
        <v>3.558846956002104E-4</v>
      </c>
      <c r="N287" s="498">
        <f ca="1">N286*AVERAGE(N284,N282)</f>
        <v>1.6845195569618339E-2</v>
      </c>
      <c r="O287" s="498">
        <f ca="1">O286*AVERAGE(O284,O282)</f>
        <v>1.6489505681229442E-2</v>
      </c>
    </row>
    <row r="288" spans="2:15" ht="6" customHeight="1"/>
    <row r="290" spans="2:15">
      <c r="C290" s="277" t="s">
        <v>135</v>
      </c>
    </row>
    <row r="291" spans="2:15">
      <c r="B291" s="277"/>
      <c r="D291" s="65" t="s">
        <v>11</v>
      </c>
      <c r="H291" s="499"/>
      <c r="I291" s="499"/>
      <c r="J291" s="499"/>
      <c r="K291" s="374">
        <f ca="1">K125</f>
        <v>48.129264327197376</v>
      </c>
      <c r="L291" s="374">
        <f ca="1">L125</f>
        <v>38.692223386454302</v>
      </c>
      <c r="M291" s="374">
        <f ca="1">M125</f>
        <v>54.852380704572056</v>
      </c>
      <c r="N291" s="374">
        <f ca="1">N125</f>
        <v>52.498580229549347</v>
      </c>
      <c r="O291" s="374">
        <f ca="1">O125</f>
        <v>43.190420544512257</v>
      </c>
    </row>
    <row r="292" spans="2:15">
      <c r="B292" s="277"/>
      <c r="D292" s="65" t="s">
        <v>108</v>
      </c>
      <c r="H292" s="499"/>
      <c r="I292" s="499"/>
      <c r="J292" s="499"/>
      <c r="K292" s="374">
        <f>K131</f>
        <v>-16</v>
      </c>
      <c r="L292" s="374">
        <f>L131</f>
        <v>-17</v>
      </c>
      <c r="M292" s="374">
        <f>M131</f>
        <v>-17.3</v>
      </c>
      <c r="N292" s="374">
        <f>N131</f>
        <v>-17.5</v>
      </c>
      <c r="O292" s="374">
        <f>O131</f>
        <v>-18</v>
      </c>
    </row>
    <row r="293" spans="2:15">
      <c r="B293" s="277"/>
      <c r="D293" s="65" t="s">
        <v>146</v>
      </c>
      <c r="H293" s="499"/>
      <c r="I293" s="499"/>
      <c r="J293" s="499"/>
      <c r="K293" s="374">
        <f>K308</f>
        <v>-25</v>
      </c>
      <c r="L293" s="374">
        <f>L308</f>
        <v>-25</v>
      </c>
      <c r="M293" s="374">
        <f>M308</f>
        <v>-25</v>
      </c>
      <c r="N293" s="374">
        <f>N308</f>
        <v>-25</v>
      </c>
      <c r="O293" s="374">
        <f>O308</f>
        <v>-25</v>
      </c>
    </row>
    <row r="294" spans="2:15">
      <c r="B294" s="277"/>
      <c r="D294" s="65" t="s">
        <v>126</v>
      </c>
      <c r="H294" s="499"/>
      <c r="I294" s="499"/>
      <c r="J294" s="499"/>
      <c r="K294" s="374">
        <f>K328</f>
        <v>0</v>
      </c>
      <c r="L294" s="374">
        <f>L328</f>
        <v>0</v>
      </c>
      <c r="M294" s="374">
        <f>M328</f>
        <v>0</v>
      </c>
      <c r="N294" s="374">
        <f>N328</f>
        <v>0</v>
      </c>
      <c r="O294" s="374">
        <f>O328</f>
        <v>0</v>
      </c>
    </row>
    <row r="295" spans="2:15">
      <c r="B295" s="277"/>
      <c r="D295" s="65" t="s">
        <v>132</v>
      </c>
      <c r="H295" s="499"/>
      <c r="I295" s="499"/>
      <c r="J295" s="499"/>
      <c r="K295" s="307">
        <f ca="1">K138</f>
        <v>-6.0385746731757521</v>
      </c>
      <c r="L295" s="307">
        <f ca="1">L138</f>
        <v>-2.6647833249105872</v>
      </c>
      <c r="M295" s="307">
        <f ca="1">M138</f>
        <v>-7.8993334810173508</v>
      </c>
      <c r="N295" s="307">
        <f ca="1">N138</f>
        <v>-6.7718949965107802</v>
      </c>
      <c r="O295" s="307">
        <f ca="1">O138</f>
        <v>-3.9813506808006878</v>
      </c>
    </row>
    <row r="296" spans="2:15">
      <c r="D296" s="277" t="s">
        <v>145</v>
      </c>
      <c r="K296" s="353">
        <f ca="1">SUM(K291:K295)</f>
        <v>1.0906896540216238</v>
      </c>
      <c r="L296" s="353">
        <f ca="1">SUM(L291:L295)</f>
        <v>-5.9725599384562855</v>
      </c>
      <c r="M296" s="353">
        <f ca="1">SUM(M291:M295)</f>
        <v>4.653047223554708</v>
      </c>
      <c r="N296" s="353">
        <f ca="1">SUM(N291:N295)</f>
        <v>3.2266852330385669</v>
      </c>
      <c r="O296" s="353">
        <f ca="1">SUM(O291:O295)</f>
        <v>-3.7909301362884307</v>
      </c>
    </row>
    <row r="297" spans="2:15">
      <c r="C297" s="277"/>
    </row>
    <row r="298" spans="2:15">
      <c r="D298" s="65" t="s">
        <v>147</v>
      </c>
      <c r="K298" s="349">
        <f>J300</f>
        <v>0</v>
      </c>
      <c r="L298" s="349">
        <f ca="1">K300</f>
        <v>0</v>
      </c>
      <c r="M298" s="349">
        <f ca="1">L300</f>
        <v>4.5818702844346619</v>
      </c>
      <c r="N298" s="349">
        <f ca="1">M300</f>
        <v>0</v>
      </c>
      <c r="O298" s="349">
        <f ca="1">N300</f>
        <v>0</v>
      </c>
    </row>
    <row r="299" spans="2:15">
      <c r="D299" s="65" t="s">
        <v>68</v>
      </c>
      <c r="J299" s="89"/>
      <c r="K299" s="494">
        <f ca="1">-MIN((K296+K282),K298)</f>
        <v>0</v>
      </c>
      <c r="L299" s="494">
        <f ca="1">-MIN((L296+L282),L298)</f>
        <v>4.5818702844346619</v>
      </c>
      <c r="M299" s="494">
        <f ca="1">-MIN((M296+M282),M298)</f>
        <v>-4.5818702844346619</v>
      </c>
      <c r="N299" s="494">
        <f ca="1">-MIN((N296+N282),N298)</f>
        <v>0</v>
      </c>
      <c r="O299" s="494">
        <f ca="1">-MIN((O296+O282),O298)</f>
        <v>0.49306792522731246</v>
      </c>
    </row>
    <row r="300" spans="2:15">
      <c r="D300" s="65" t="s">
        <v>148</v>
      </c>
      <c r="I300" s="495"/>
      <c r="J300" s="438">
        <f>J171</f>
        <v>0</v>
      </c>
      <c r="K300" s="438">
        <f ca="1">SUM(K298:K299)</f>
        <v>0</v>
      </c>
      <c r="L300" s="438">
        <f ca="1">SUM(L298:L299)</f>
        <v>4.5818702844346619</v>
      </c>
      <c r="M300" s="438">
        <f ca="1">SUM(M298:M299)</f>
        <v>0</v>
      </c>
      <c r="N300" s="438">
        <f ca="1">SUM(N298:N299)</f>
        <v>0</v>
      </c>
      <c r="O300" s="438">
        <f ca="1">SUM(O298:O299)</f>
        <v>0.49306792522731246</v>
      </c>
    </row>
    <row r="301" spans="2:15" ht="6" customHeight="1"/>
    <row r="302" spans="2:15">
      <c r="D302" s="65" t="s">
        <v>70</v>
      </c>
      <c r="K302" s="500">
        <f>Assumptions!N22</f>
        <v>0.06</v>
      </c>
      <c r="L302" s="280">
        <f>K302</f>
        <v>0.06</v>
      </c>
      <c r="M302" s="280">
        <f>L302</f>
        <v>0.06</v>
      </c>
      <c r="N302" s="280">
        <f>M302</f>
        <v>0.06</v>
      </c>
      <c r="O302" s="280">
        <f>N302</f>
        <v>0.06</v>
      </c>
    </row>
    <row r="303" spans="2:15">
      <c r="D303" s="277" t="s">
        <v>71</v>
      </c>
      <c r="K303" s="498">
        <f ca="1">K302*AVERAGE(K300,K298)</f>
        <v>0</v>
      </c>
      <c r="L303" s="498">
        <f ca="1">L302*AVERAGE(L300,L298)</f>
        <v>0.13745610853303986</v>
      </c>
      <c r="M303" s="498">
        <f ca="1">M302*AVERAGE(M300,M298)</f>
        <v>0.13745610853303986</v>
      </c>
      <c r="N303" s="498">
        <f ca="1">N302*AVERAGE(N300,N298)</f>
        <v>0</v>
      </c>
      <c r="O303" s="498">
        <f ca="1">O302*AVERAGE(O300,O298)</f>
        <v>1.4792037756819374E-2</v>
      </c>
    </row>
    <row r="304" spans="2:15" ht="6" customHeight="1"/>
    <row r="306" spans="2:15">
      <c r="C306" s="277" t="s">
        <v>136</v>
      </c>
    </row>
    <row r="307" spans="2:15">
      <c r="D307" s="65" t="s">
        <v>67</v>
      </c>
      <c r="K307" s="349">
        <f>J309</f>
        <v>200</v>
      </c>
      <c r="L307" s="349">
        <f>K309</f>
        <v>175</v>
      </c>
      <c r="M307" s="349">
        <f>L309</f>
        <v>150</v>
      </c>
      <c r="N307" s="349">
        <f>M309</f>
        <v>125</v>
      </c>
      <c r="O307" s="349">
        <f>N309</f>
        <v>100</v>
      </c>
    </row>
    <row r="308" spans="2:15">
      <c r="D308" s="65" t="s">
        <v>68</v>
      </c>
      <c r="J308" s="89"/>
      <c r="K308" s="501">
        <f>Assumptions!J59</f>
        <v>-25</v>
      </c>
      <c r="L308" s="501">
        <f>Assumptions!K59</f>
        <v>-25</v>
      </c>
      <c r="M308" s="501">
        <f>Assumptions!L59</f>
        <v>-25</v>
      </c>
      <c r="N308" s="501">
        <f>Assumptions!M59</f>
        <v>-25</v>
      </c>
      <c r="O308" s="501">
        <f>Assumptions!N59</f>
        <v>-25</v>
      </c>
    </row>
    <row r="309" spans="2:15">
      <c r="D309" s="65" t="s">
        <v>69</v>
      </c>
      <c r="I309" s="495"/>
      <c r="J309" s="438">
        <f>J177</f>
        <v>200</v>
      </c>
      <c r="K309" s="438">
        <f>SUM(K307:K308)</f>
        <v>175</v>
      </c>
      <c r="L309" s="438">
        <f>SUM(L307:L308)</f>
        <v>150</v>
      </c>
      <c r="M309" s="438">
        <f>SUM(M307:M308)</f>
        <v>125</v>
      </c>
      <c r="N309" s="438">
        <f>SUM(N307:N308)</f>
        <v>100</v>
      </c>
      <c r="O309" s="438">
        <f>SUM(O307:O308)</f>
        <v>75</v>
      </c>
    </row>
    <row r="310" spans="2:15" ht="6" customHeight="1"/>
    <row r="311" spans="2:15">
      <c r="D311" s="65" t="s">
        <v>70</v>
      </c>
      <c r="K311" s="500">
        <f>Assumptions!N23</f>
        <v>0.06</v>
      </c>
      <c r="L311" s="280">
        <f>K311</f>
        <v>0.06</v>
      </c>
      <c r="M311" s="280">
        <f>L311</f>
        <v>0.06</v>
      </c>
      <c r="N311" s="280">
        <f>M311</f>
        <v>0.06</v>
      </c>
      <c r="O311" s="280">
        <f>N311</f>
        <v>0.06</v>
      </c>
    </row>
    <row r="312" spans="2:15">
      <c r="D312" s="277" t="s">
        <v>71</v>
      </c>
      <c r="K312" s="498">
        <f>K311*AVERAGE(K309,K307)</f>
        <v>11.25</v>
      </c>
      <c r="L312" s="498">
        <f>L311*AVERAGE(L309,L307)</f>
        <v>9.75</v>
      </c>
      <c r="M312" s="498">
        <f>M311*AVERAGE(M309,M307)</f>
        <v>8.25</v>
      </c>
      <c r="N312" s="498">
        <f>N311*AVERAGE(N309,N307)</f>
        <v>6.75</v>
      </c>
      <c r="O312" s="498">
        <f>O311*AVERAGE(O309,O307)</f>
        <v>5.25</v>
      </c>
    </row>
    <row r="315" spans="2:15" ht="14.4" thickBot="1">
      <c r="C315" s="277" t="s">
        <v>76</v>
      </c>
      <c r="K315" s="351">
        <f ca="1">K312+K303-K287</f>
        <v>11.241546551729892</v>
      </c>
      <c r="L315" s="351">
        <f ca="1">L312+L303-L287</f>
        <v>9.8805026602629322</v>
      </c>
      <c r="M315" s="351">
        <f ca="1">M312+M303-M287</f>
        <v>8.3871002238374412</v>
      </c>
      <c r="N315" s="351">
        <f ca="1">N312+N303-N287</f>
        <v>6.7331548044303817</v>
      </c>
      <c r="O315" s="351">
        <f ca="1">O312+O303-O287</f>
        <v>5.2483025320755905</v>
      </c>
    </row>
    <row r="316" spans="2:15" ht="14.4" thickTop="1">
      <c r="B316" s="89"/>
      <c r="C316" s="89"/>
      <c r="D316" s="89"/>
      <c r="E316" s="89"/>
      <c r="F316" s="287"/>
      <c r="G316" s="89"/>
      <c r="H316" s="89"/>
      <c r="I316" s="89"/>
      <c r="J316" s="89"/>
      <c r="K316" s="89"/>
      <c r="L316" s="89"/>
      <c r="M316" s="89"/>
      <c r="N316" s="89"/>
      <c r="O316" s="89"/>
    </row>
    <row r="318" spans="2:15" ht="12.75" customHeight="1">
      <c r="B318" s="62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288" t="str">
        <f>O271</f>
        <v>CURRENTLY RUNNING: BASE CASE SCENARIO</v>
      </c>
    </row>
    <row r="319" spans="2:15" ht="23.4">
      <c r="B319" s="62" t="str">
        <f>B272</f>
        <v>Henderson Manufacturing</v>
      </c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</row>
    <row r="320" spans="2:15" ht="18">
      <c r="B320" s="239" t="s">
        <v>119</v>
      </c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</row>
    <row r="321" spans="2:15" ht="6" customHeight="1" thickBot="1">
      <c r="B321" s="243"/>
      <c r="C321" s="367"/>
      <c r="D321" s="367"/>
      <c r="E321" s="367"/>
      <c r="F321" s="367"/>
      <c r="G321" s="367"/>
      <c r="H321" s="367"/>
      <c r="I321" s="367"/>
      <c r="J321" s="367"/>
      <c r="K321" s="367"/>
      <c r="L321" s="367"/>
      <c r="M321" s="367"/>
      <c r="N321" s="367"/>
      <c r="O321" s="367"/>
    </row>
    <row r="322" spans="2:15">
      <c r="B322" s="324" t="s">
        <v>185</v>
      </c>
      <c r="F322" s="65"/>
      <c r="O322" s="115"/>
    </row>
    <row r="323" spans="2:15">
      <c r="F323" s="65"/>
      <c r="H323" s="64"/>
      <c r="I323" s="64"/>
      <c r="J323" s="64"/>
      <c r="K323" s="247" t="s">
        <v>2</v>
      </c>
      <c r="L323" s="119"/>
      <c r="M323" s="119"/>
      <c r="N323" s="119"/>
      <c r="O323" s="119"/>
    </row>
    <row r="324" spans="2:15">
      <c r="F324" s="65"/>
      <c r="G324" s="370"/>
      <c r="H324" s="248"/>
      <c r="I324" s="248"/>
      <c r="J324" s="248">
        <f>$J$7</f>
        <v>2024</v>
      </c>
      <c r="K324" s="371">
        <f>K$7</f>
        <v>2025</v>
      </c>
      <c r="L324" s="371">
        <f>L$7</f>
        <v>2026</v>
      </c>
      <c r="M324" s="371">
        <f>M$7</f>
        <v>2027</v>
      </c>
      <c r="N324" s="371">
        <f>N$7</f>
        <v>2028</v>
      </c>
      <c r="O324" s="371">
        <f>O$7</f>
        <v>2029</v>
      </c>
    </row>
    <row r="326" spans="2:15" ht="13.35" customHeight="1">
      <c r="B326" s="277"/>
      <c r="C326" s="277" t="s">
        <v>120</v>
      </c>
    </row>
    <row r="327" spans="2:15" ht="13.35" customHeight="1">
      <c r="D327" s="65" t="s">
        <v>67</v>
      </c>
      <c r="G327" s="251"/>
      <c r="K327" s="349">
        <f>J329</f>
        <v>120</v>
      </c>
      <c r="L327" s="349">
        <f>K329</f>
        <v>120</v>
      </c>
      <c r="M327" s="349">
        <f>L329</f>
        <v>120</v>
      </c>
      <c r="N327" s="349">
        <f>M329</f>
        <v>120</v>
      </c>
      <c r="O327" s="349">
        <f>N329</f>
        <v>120</v>
      </c>
    </row>
    <row r="328" spans="2:15" ht="13.35" customHeight="1">
      <c r="D328" s="65" t="s">
        <v>129</v>
      </c>
      <c r="J328" s="89"/>
      <c r="K328" s="501">
        <f>Assumptions!J60</f>
        <v>0</v>
      </c>
      <c r="L328" s="501">
        <f>Assumptions!K60</f>
        <v>0</v>
      </c>
      <c r="M328" s="501">
        <f>Assumptions!L60</f>
        <v>0</v>
      </c>
      <c r="N328" s="501">
        <f>Assumptions!M60</f>
        <v>0</v>
      </c>
      <c r="O328" s="501">
        <f>Assumptions!N60</f>
        <v>0</v>
      </c>
    </row>
    <row r="329" spans="2:15" ht="13.35" customHeight="1">
      <c r="D329" s="65" t="s">
        <v>69</v>
      </c>
      <c r="J329" s="438">
        <f>J182</f>
        <v>120</v>
      </c>
      <c r="K329" s="438">
        <f>SUM(K327:K328)</f>
        <v>120</v>
      </c>
      <c r="L329" s="438">
        <f>SUM(L327:L328)</f>
        <v>120</v>
      </c>
      <c r="M329" s="438">
        <f>SUM(M327:M328)</f>
        <v>120</v>
      </c>
      <c r="N329" s="438">
        <f>SUM(N327:N328)</f>
        <v>120</v>
      </c>
      <c r="O329" s="438">
        <f>SUM(O327:O328)</f>
        <v>120</v>
      </c>
    </row>
    <row r="330" spans="2:15" ht="6" customHeight="1"/>
    <row r="331" spans="2:15" ht="13.35" customHeight="1">
      <c r="D331" s="65" t="s">
        <v>121</v>
      </c>
      <c r="K331" s="500">
        <f>Assumptions!N8</f>
        <v>0.2</v>
      </c>
      <c r="L331" s="280">
        <f>K331</f>
        <v>0.2</v>
      </c>
      <c r="M331" s="280">
        <f>L331</f>
        <v>0.2</v>
      </c>
      <c r="N331" s="280">
        <f>M331</f>
        <v>0.2</v>
      </c>
      <c r="O331" s="280">
        <f>N331</f>
        <v>0.2</v>
      </c>
    </row>
    <row r="332" spans="2:15" ht="13.35" customHeight="1">
      <c r="D332" s="65" t="s">
        <v>8</v>
      </c>
      <c r="K332" s="349">
        <f ca="1">K104</f>
        <v>30.192873365878761</v>
      </c>
      <c r="L332" s="349">
        <f ca="1">L104</f>
        <v>13.323916624552936</v>
      </c>
      <c r="M332" s="349">
        <f ca="1">M104</f>
        <v>39.496667404577579</v>
      </c>
      <c r="N332" s="349">
        <f ca="1">N104</f>
        <v>33.859475007679492</v>
      </c>
      <c r="O332" s="349">
        <f ca="1">O104</f>
        <v>19.906762112385586</v>
      </c>
    </row>
    <row r="333" spans="2:15" ht="13.35" customHeight="1">
      <c r="C333" s="277"/>
      <c r="D333" s="277" t="s">
        <v>122</v>
      </c>
      <c r="K333" s="498">
        <f ca="1">MAX(K332*K331,0)</f>
        <v>6.0385746731757521</v>
      </c>
      <c r="L333" s="498">
        <f ca="1">MAX(L332*L331,0)</f>
        <v>2.6647833249105872</v>
      </c>
      <c r="M333" s="498">
        <f ca="1">MAX(M332*M331,0)</f>
        <v>7.8993334809155158</v>
      </c>
      <c r="N333" s="498">
        <f ca="1">MAX(N332*N331,0)</f>
        <v>6.7718950015358992</v>
      </c>
      <c r="O333" s="498">
        <f ca="1">MAX(O332*O331,0)</f>
        <v>3.9813524224771175</v>
      </c>
    </row>
    <row r="336" spans="2:15" ht="13.35" customHeight="1">
      <c r="B336" s="277"/>
      <c r="C336" s="277" t="s">
        <v>123</v>
      </c>
    </row>
    <row r="337" spans="2:15" ht="13.35" customHeight="1">
      <c r="D337" s="65" t="s">
        <v>67</v>
      </c>
      <c r="K337" s="349">
        <f>J340</f>
        <v>138.50000000000003</v>
      </c>
      <c r="L337" s="349">
        <f ca="1">K340</f>
        <v>162.65429869270304</v>
      </c>
      <c r="M337" s="349">
        <f ca="1">L340</f>
        <v>173.31343199234539</v>
      </c>
      <c r="N337" s="349">
        <f ca="1">M340</f>
        <v>204.91076591641479</v>
      </c>
      <c r="O337" s="349">
        <f ca="1">N340</f>
        <v>231.99834589920454</v>
      </c>
    </row>
    <row r="338" spans="2:15" ht="13.35" customHeight="1">
      <c r="D338" s="65" t="s">
        <v>8</v>
      </c>
      <c r="K338" s="349">
        <f ca="1">K104</f>
        <v>30.192873365878761</v>
      </c>
      <c r="L338" s="349">
        <f ca="1">L104</f>
        <v>13.323916624552936</v>
      </c>
      <c r="M338" s="349">
        <f ca="1">M104</f>
        <v>39.496667404577579</v>
      </c>
      <c r="N338" s="349">
        <f ca="1">N104</f>
        <v>33.859475007679492</v>
      </c>
      <c r="O338" s="349">
        <f ca="1">O104</f>
        <v>19.906762112385586</v>
      </c>
    </row>
    <row r="339" spans="2:15" ht="13.35" customHeight="1">
      <c r="D339" s="65" t="s">
        <v>122</v>
      </c>
      <c r="J339" s="89"/>
      <c r="K339" s="494">
        <f ca="1">-K333</f>
        <v>-6.0385746731757521</v>
      </c>
      <c r="L339" s="494">
        <f ca="1">-L333</f>
        <v>-2.6647833249105872</v>
      </c>
      <c r="M339" s="494">
        <f ca="1">-M333</f>
        <v>-7.8993334809155158</v>
      </c>
      <c r="N339" s="494">
        <f ca="1">-N333</f>
        <v>-6.7718950015358992</v>
      </c>
      <c r="O339" s="494">
        <f ca="1">-O333</f>
        <v>-3.9813524224771175</v>
      </c>
    </row>
    <row r="340" spans="2:15" ht="13.35" customHeight="1">
      <c r="D340" s="277" t="s">
        <v>69</v>
      </c>
      <c r="E340" s="277"/>
      <c r="F340" s="308"/>
      <c r="G340" s="277"/>
      <c r="H340" s="277"/>
      <c r="I340" s="277"/>
      <c r="J340" s="353">
        <f>J183</f>
        <v>138.50000000000003</v>
      </c>
      <c r="K340" s="353">
        <f ca="1">SUM(K337:K339)</f>
        <v>162.65429869270304</v>
      </c>
      <c r="L340" s="353">
        <f ca="1">SUM(L337:L339)</f>
        <v>173.31343199234539</v>
      </c>
      <c r="M340" s="353">
        <f ca="1">SUM(M337:M339)</f>
        <v>204.91076591600745</v>
      </c>
      <c r="N340" s="353">
        <f ca="1">SUM(N337:N339)</f>
        <v>231.99834592255837</v>
      </c>
      <c r="O340" s="353">
        <f ca="1">SUM(O337:O339)</f>
        <v>247.923755589113</v>
      </c>
    </row>
    <row r="341" spans="2:15">
      <c r="B341" s="89"/>
      <c r="C341" s="89"/>
      <c r="D341" s="89"/>
      <c r="E341" s="89"/>
      <c r="F341" s="287"/>
      <c r="G341" s="89"/>
      <c r="H341" s="89"/>
      <c r="I341" s="89"/>
      <c r="J341" s="89"/>
      <c r="K341" s="89"/>
      <c r="L341" s="89"/>
      <c r="M341" s="89"/>
      <c r="N341" s="89"/>
      <c r="O341" s="89"/>
    </row>
  </sheetData>
  <sheetProtection formatCells="0" formatColumns="0" formatRows="0" insertColumns="0" insertRows="0"/>
  <phoneticPr fontId="0" type="noConversion"/>
  <printOptions horizontalCentered="1"/>
  <pageMargins left="0.23622047244094499" right="0.23622047244094499" top="0.23622047244094499" bottom="0.511811023622047" header="0.23622047244094499" footer="0.23622047244094499"/>
  <pageSetup scale="95" orientation="landscape" r:id="rId1"/>
  <headerFooter alignWithMargins="0">
    <oddFooter>&amp;L&amp;"Calibri,Bold"&amp;9Financial Modeling Institute&amp;"Calibri,Regular"
C:\My Documents\Henderson Model.xls&amp;C&amp;"Calibri,Regular"&amp;9Page &amp;P of &amp;N&amp;R&amp;"Calibri,Regular"&amp;9&amp;D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Summary</vt:lpstr>
      <vt:lpstr>Assumptions</vt:lpstr>
      <vt:lpstr>Scenarios</vt:lpstr>
      <vt:lpstr>Model</vt:lpstr>
      <vt:lpstr>Assumptions!Print_Area</vt:lpstr>
      <vt:lpstr>Cover!Print_Area</vt:lpstr>
      <vt:lpstr>Model!Print_Area</vt:lpstr>
      <vt:lpstr>Scenarios!Print_Area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2018-03-28T17:44:41Z</dcterms:created>
  <dcterms:modified xsi:type="dcterms:W3CDTF">2024-10-11T14:46:49Z</dcterms:modified>
</cp:coreProperties>
</file>